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F6" i="17" s="1"/>
  <c r="R33" i="18"/>
  <c r="Q33" i="18"/>
  <c r="P33" i="18"/>
  <c r="O33" i="18"/>
  <c r="C6" i="17" s="1"/>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6" i="17"/>
  <c r="B36" i="13"/>
  <c r="B35" i="13"/>
  <c r="C35" i="13" s="1"/>
  <c r="B34" i="13"/>
  <c r="B33" i="13"/>
  <c r="B32" i="13"/>
  <c r="C34" i="13"/>
  <c r="D16" i="16"/>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10" i="13"/>
  <c r="C12" i="13" s="1"/>
  <c r="D41" i="14" s="1"/>
  <c r="D46" i="14" s="1"/>
  <c r="D61" i="14" s="1"/>
  <c r="D63" i="14" s="1"/>
  <c r="C22" i="59"/>
  <c r="C20" i="16"/>
  <c r="C22" i="16" s="1"/>
  <c r="D43" i="14" s="1"/>
  <c r="C17" i="4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<sst xmlns="http://schemas.openxmlformats.org/spreadsheetml/2006/main" count="2465" uniqueCount="894">
  <si>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</si>
  <si>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</si>
  <si>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</si>
  <si>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</si>
  <si>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</si>
  <si>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</si>
  <si>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</si>
  <si>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</si>
  <si>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</si>
  <si>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</si>
  <si>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</si>
  <si>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</si>
  <si>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</si>
  <si>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</si>
  <si>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</si>
  <si>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</si>
  <si>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</si>
  <si>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</si>
  <si>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</si>
  <si>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</si>
  <si>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</si>
  <si>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</si>
  <si>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</si>
  <si>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</si>
  <si>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</si>
  <si>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</si>
  <si>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</si>
  <si>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</si>
  <si>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</si>
  <si>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</si>
  <si>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</si>
  <si>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</si>
  <si>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</si>
  <si>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</si>
  <si>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</si>
  <si>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</si>
  <si>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</si>
  <si>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</si>
  <si>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</si>
  <si>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</si>
  <si>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</si>
  <si>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</si>
  <si>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</si>
  <si>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</si>
  <si>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</si>
  <si>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</si>
  <si>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</si>
  <si>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</si>
  <si>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</si>
  <si>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</si>
  <si>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</si>
  <si>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</si>
  <si>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</si>
  <si>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</si>
  <si>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</si>
  <si>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</si>
  <si>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</si>
  <si>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</si>
  <si>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</si>
  <si>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</si>
  <si>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</si>
  <si>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</si>
  <si>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</si>
  <si>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</si>
  <si>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</si>
  <si>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</si>
  <si>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</si>
  <si>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</si>
  <si>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</si>
  <si>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</si>
  <si>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</si>
  <si>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</si>
  <si>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</si>
  <si>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</si>
  <si>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</si>
  <si>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</si>
  <si>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</si>
  <si>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</si>
  <si>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</si>
  <si>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</si>
  <si>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</si>
  <si>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</si>
  <si>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</si>
  <si>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</si>
  <si>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</si>
  <si>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</si>
  <si>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</si>
  <si>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</si>
  <si>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</si>
  <si>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</si>
  <si>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</si>
  <si>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</si>
  <si>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</si>
  <si>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</si>
  <si>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</si>
  <si>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</si>
  <si>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</si>
  <si>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</si>
  <si>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</si>
  <si>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</si>
  <si>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</si>
  <si>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</si>
  <si>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</si>
  <si>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</si>
  <si>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</si>
  <si>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</si>
  <si>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</si>
  <si>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</si>
  <si>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</si>
  <si>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</si>
  <si>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</si>
  <si>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</si>
  <si>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</si>
  <si>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</si>
  <si>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</si>
  <si>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</si>
  <si>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</si>
  <si>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</si>
  <si>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</si>
  <si>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</si>
  <si>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</si>
  <si>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</si>
  <si>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</si>
  <si>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</si>
  <si>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</si>
  <si>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</si>
  <si>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</si>
  <si>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</si>
  <si>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</si>
  <si>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</si>
  <si>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</si>
  <si>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</si>
  <si>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</si>
  <si>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</si>
  <si>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</si>
  <si>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</si>
  <si>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</si>
  <si>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</si>
  <si>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</si>
  <si>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</si>
  <si>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</si>
  <si>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</si>
  <si>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</si>
  <si>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</si>
  <si>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</si>
  <si>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</si>
  <si>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</si>
  <si>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</si>
  <si>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</si>
  <si>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</si>
  <si>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</si>
  <si>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</si>
  <si>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</si>
  <si>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</si>
  <si>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</si>
  <si>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</si>
  <si>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</si>
  <si>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</si>
  <si>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</si>
  <si>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</si>
  <si>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</si>
  <si>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</si>
  <si>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</si>
  <si>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</si>
  <si>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</si>
  <si>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</si>
  <si>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</si>
  <si>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</si>
  <si>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</si>
  <si>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</si>
  <si>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</si>
  <si>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</si>
  <si>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</si>
  <si>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</si>
  <si>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</si>
  <si>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</si>
  <si>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</si>
  <si>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</si>
  <si>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</si>
  <si>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</si>
  <si>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</si>
  <si>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</si>
  <si>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</si>
  <si>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</si>
  <si>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</si>
  <si>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</si>
  <si>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</si>
  <si>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</si>
  <si>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</si>
  <si>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</si>
  <si>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</si>
  <si>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</si>
  <si>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</si>
  <si>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</si>
  <si>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</si>
  <si>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</si>
  <si>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</si>
  <si>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</si>
  <si>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</si>
  <si>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</si>
  <si>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</si>
  <si>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</si>
  <si>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</si>
  <si>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</si>
  <si>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</si>
  <si>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</si>
  <si>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</si>
  <si>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</si>
  <si>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</si>
  <si>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</si>
  <si>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</si>
  <si>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</si>
  <si>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</si>
  <si>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</si>
  <si>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</si>
  <si>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</si>
  <si>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</si>
  <si>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</si>
  <si>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</si>
  <si>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</si>
  <si>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</si>
  <si>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</si>
  <si>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</si>
  <si>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</si>
  <si>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</si>
  <si>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</si>
  <si>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</si>
  <si>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</si>
  <si>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</si>
  <si>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</si>
  <si>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</si>
  <si>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</si>
  <si>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</si>
  <si>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</si>
  <si>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</si>
  <si>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</si>
  <si>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</si>
  <si>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</si>
  <si>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</si>
  <si>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</si>
  <si>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</si>
  <si>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</si>
  <si>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</si>
  <si>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</si>
  <si>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</si>
  <si>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</si>
  <si>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</si>
  <si>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</si>
  <si>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</si>
  <si>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</si>
  <si>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</si>
  <si>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</si>
  <si>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</si>
  <si>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</si>
  <si>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</si>
  <si>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</si>
  <si>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</si>
  <si>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</si>
  <si>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</si>
  <si>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</si>
  <si>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</si>
  <si>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</si>
  <si>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</si>
  <si>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</si>
  <si>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</si>
  <si>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</si>
  <si>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</si>
  <si>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</si>
  <si>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</si>
  <si>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</si>
  <si>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</si>
  <si>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</si>
  <si>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</si>
  <si>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</si>
  <si>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</si>
  <si>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</si>
  <si>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</si>
  <si>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</si>
  <si>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</si>
  <si>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</si>
  <si>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</si>
  <si>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</si>
  <si>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</si>
  <si>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</si>
  <si>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</si>
  <si>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</si>
  <si>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</si>
  <si>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</si>
  <si>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</si>
  <si>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</si>
  <si>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</si>
  <si>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</si>
  <si>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</si>
  <si>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</si>
  <si>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</si>
  <si>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</si>
  <si>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</si>
  <si>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</si>
  <si>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</si>
  <si>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</si>
  <si>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</si>
  <si>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</si>
  <si>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</si>
  <si>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</si>
  <si>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</si>
  <si>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</si>
  <si>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</si>
  <si>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</si>
  <si>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</si>
  <si>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</si>
  <si>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</si>
  <si>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</si>
  <si>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</si>
  <si>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</si>
  <si>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</si>
  <si>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</si>
  <si>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</si>
  <si>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</si>
  <si>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</si>
  <si>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</si>
  <si>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</si>
  <si>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</si>
  <si>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</si>
  <si>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</si>
  <si>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</si>
  <si>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</si>
  <si>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</si>
  <si>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</si>
  <si>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</si>
  <si>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</si>
  <si>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</si>
  <si>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</si>
  <si>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</si>
  <si>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</si>
  <si>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</si>
  <si>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</si>
  <si>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</si>
  <si>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</si>
  <si>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</si>
  <si>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</si>
  <si>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</si>
  <si>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</si>
  <si>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</si>
  <si>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</si>
  <si>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</si>
  <si>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</si>
  <si>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</si>
  <si>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</si>
  <si>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</si>
  <si>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</si>
  <si>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</si>
  <si>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</si>
  <si>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</si>
  <si>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</si>
  <si>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</si>
  <si>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</si>
  <si>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</si>
  <si>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</si>
  <si>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</si>
  <si>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</si>
  <si>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</si>
  <si>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</si>
  <si>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</si>
  <si>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</si>
  <si>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</si>
  <si>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</si>
  <si>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</si>
  <si>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</si>
  <si>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</si>
  <si>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</si>
  <si>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</si>
  <si>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</si>
  <si>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</si>
  <si>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</si>
  <si>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</si>
  <si>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</si>
  <si>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</si>
  <si>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</si>
  <si>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</si>
  <si>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</si>
  <si>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</si>
  <si>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</si>
  <si>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</si>
  <si>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</si>
  <si>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</si>
  <si>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</si>
  <si>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</si>
  <si>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</si>
  <si>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</si>
  <si>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</si>
  <si>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</si>
  <si>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</si>
  <si>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</si>
  <si>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</si>
  <si>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</si>
  <si>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</si>
  <si>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</si>
  <si>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</si>
  <si>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</si>
  <si>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</si>
  <si>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</si>
  <si>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</si>
  <si>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</si>
  <si>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</si>
  <si>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</si>
  <si>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</si>
  <si>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</si>
  <si>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</si>
  <si>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</si>
  <si>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</si>
  <si>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</si>
  <si>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</si>
  <si>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</si>
  <si>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</si>
  <si>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</si>
  <si>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</si>
  <si>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</si>
  <si>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</si>
  <si>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</si>
  <si>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</si>
  <si>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</si>
  <si>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</si>
  <si>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</si>
  <si>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</si>
  <si>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</si>
  <si>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</si>
  <si>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</si>
  <si>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</si>
  <si>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</si>
  <si>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</si>
  <si>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</si>
  <si>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</si>
  <si>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</si>
  <si>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</si>
  <si>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</si>
  <si>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</si>
  <si>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</si>
  <si>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</si>
  <si>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</si>
  <si>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</si>
  <si>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</si>
  <si>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</si>
  <si>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</si>
  <si>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</si>
  <si>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</si>
  <si>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</si>
  <si>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</si>
  <si>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</si>
  <si>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</si>
  <si>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</si>
  <si>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</si>
  <si>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</si>
  <si>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</si>
  <si>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</si>
  <si>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</si>
  <si>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</si>
  <si>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</si>
  <si>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</si>
  <si>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</si>
  <si>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</si>
  <si>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</si>
  <si>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</si>
  <si>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</si>
  <si>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</si>
  <si>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</si>
  <si>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</si>
  <si>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</si>
  <si>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</si>
  <si>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</si>
  <si>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</si>
  <si>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</si>
  <si>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</si>
  <si>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</si>
  <si>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</si>
  <si>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</si>
  <si>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</si>
  <si>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</si>
  <si>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</si>
  <si>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</si>
  <si>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</si>
  <si>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</si>
  <si>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</si>
  <si>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</si>
  <si>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</si>
  <si>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</si>
  <si>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</si>
  <si>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</si>
  <si>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</si>
  <si>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</si>
  <si>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</si>
  <si>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</si>
  <si>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</si>
  <si>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</si>
  <si>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</si>
  <si>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</si>
  <si>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</si>
  <si>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</si>
  <si>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</si>
  <si>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</si>
  <si>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</si>
  <si>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</si>
  <si>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</si>
  <si>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</si>
  <si>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</si>
  <si>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</si>
  <si>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</si>
  <si>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</si>
  <si>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</si>
  <si>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</si>
  <si>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</si>
  <si>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</si>
  <si>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</si>
  <si>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</si>
  <si>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</si>
  <si>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</si>
  <si>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</si>
  <si>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</si>
  <si>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</si>
  <si>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</si>
  <si>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</si>
  <si>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</si>
  <si>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</si>
  <si>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</si>
  <si>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</si>
  <si>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</si>
  <si>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</si>
  <si>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</si>
  <si>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</si>
  <si>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</si>
  <si>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</si>
  <si>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</si>
  <si>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</si>
  <si>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</si>
  <si>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</si>
  <si>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</si>
  <si>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</si>
  <si>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</si>
  <si>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</si>
  <si>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</si>
  <si>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</si>
  <si>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</si>
  <si>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</si>
  <si>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</si>
  <si>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</si>
  <si>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</si>
  <si>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</si>
  <si>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</si>
  <si>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</si>
  <si>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</si>
  <si>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</si>
  <si>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</si>
  <si>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</si>
  <si>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</si>
  <si>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</si>
  <si>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</si>
  <si>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</si>
  <si>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</si>
  <si>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</si>
  <si>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</si>
  <si>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</si>
  <si>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</si>
  <si>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</si>
  <si>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</si>
  <si>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</si>
  <si>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</si>
  <si>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</si>
  <si>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</si>
  <si>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</si>
  <si>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</si>
  <si>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</si>
  <si>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</si>
  <si>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</si>
  <si>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</si>
  <si>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</si>
  <si>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</si>
  <si>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</si>
  <si>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</si>
  <si>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</si>
  <si>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</si>
  <si>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</si>
  <si>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</si>
  <si>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</si>
  <si>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</si>
  <si>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</si>
  <si>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</si>
  <si>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</si>
  <si>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</si>
  <si>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</si>
  <si>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</si>
  <si>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</si>
  <si>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</si>
  <si>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</si>
  <si>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</si>
  <si>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</si>
  <si>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</si>
  <si>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</si>
  <si>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</si>
  <si>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</si>
  <si>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</si>
  <si>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</si>
  <si>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</si>
  <si>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</si>
  <si>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</si>
  <si>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</si>
  <si>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</si>
  <si>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</si>
  <si>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</si>
  <si>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</si>
  <si>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</si>
  <si>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</si>
  <si>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</si>
  <si>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</si>
  <si>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</si>
  <si>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</si>
  <si>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</si>
  <si>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</si>
  <si>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</si>
  <si>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</si>
  <si>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</si>
  <si>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</si>
  <si>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</si>
  <si>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</si>
  <si>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</si>
  <si>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</si>
  <si>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</si>
  <si>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</si>
  <si>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</si>
  <si>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</si>
  <si>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</si>
  <si>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</si>
  <si>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</si>
  <si>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</si>
  <si>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</si>
  <si>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</si>
  <si>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</si>
  <si>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</si>
  <si>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</si>
  <si>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</si>
  <si>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</si>
  <si>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</si>
  <si>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</si>
  <si>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</si>
  <si>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</si>
  <si>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</si>
  <si>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</si>
  <si>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</si>
  <si>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</si>
  <si>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</si>
  <si>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</si>
  <si>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</si>
  <si>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</si>
  <si>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</si>
  <si>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</si>
  <si>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</si>
  <si>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</si>
  <si>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</si>
  <si>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</si>
  <si>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</si>
  <si>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</si>
  <si>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</si>
  <si>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</si>
  <si>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</si>
  <si>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</si>
  <si>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</si>
  <si>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</si>
  <si>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</si>
  <si>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</si>
  <si>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</si>
  <si>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</si>
  <si>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</si>
  <si>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</si>
  <si>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</si>
  <si>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</si>
  <si>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</si>
  <si>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</si>
  <si>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</si>
  <si>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</si>
  <si>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</si>
  <si>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</si>
  <si>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</si>
  <si>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</si>
  <si>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</si>
  <si>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</si>
  <si>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</si>
  <si>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</si>
  <si>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</si>
  <si>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</si>
  <si>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</si>
  <si>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</si>
  <si>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</si>
  <si>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</si>
  <si>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</si>
  <si>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</si>
  <si>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</si>
  <si>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</si>
  <si>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</si>
  <si>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</si>
  <si>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</si>
  <si>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</si>
  <si>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</si>
  <si>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</si>
  <si>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</si>
  <si>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</si>
  <si>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</si>
  <si>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</si>
  <si>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</si>
  <si>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</si>
  <si>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</si>
  <si>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</si>
  <si>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</si>
  <si>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</si>
  <si>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</si>
  <si>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</si>
  <si>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</si>
  <si>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</si>
  <si>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</si>
  <si>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</si>
  <si>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</si>
  <si>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</si>
  <si>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</si>
  <si>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</si>
  <si>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</si>
  <si>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</si>
  <si>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</si>
  <si>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</si>
  <si>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</si>
  <si>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</si>
  <si>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</si>
  <si>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</si>
  <si>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</si>
  <si>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</si>
  <si>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</si>
  <si>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</si>
  <si>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</si>
  <si>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</si>
  <si>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</si>
  <si>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</si>
  <si>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</si>
  <si>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</si>
  <si>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</si>
  <si>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</si>
  <si>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</si>
  <si>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</si>
  <si>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</si>
  <si>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</si>
  <si>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</si>
  <si>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</si>
  <si>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</si>
  <si>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</si>
  <si>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</si>
  <si>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</si>
  <si>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</si>
  <si>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</si>
  <si>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</si>
  <si>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</si>
  <si>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</si>
  <si>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</si>
  <si>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</si>
  <si>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</si>
  <si>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</si>
  <si>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</si>
  <si>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</si>
  <si>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</si>
  <si>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</si>
  <si>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</si>
  <si>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</si>
  <si>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</si>
  <si>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</si>
  <si>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</si>
  <si>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</si>
  <si>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</si>
  <si>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</si>
  <si>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</si>
  <si>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</si>
  <si>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</si>
  <si>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</si>
  <si>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</si>
  <si>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</si>
  <si>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</si>
  <si>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</si>
  <si>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</si>
  <si>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</si>
  <si>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</si>
  <si>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</si>
  <si>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</si>
  <si>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</si>
  <si>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</si>
  <si>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</si>
  <si>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</si>
  <si>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</si>
  <si>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</si>
  <si>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</si>
  <si>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</si>
  <si>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</si>
  <si>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</si>
  <si>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</si>
  <si>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</si>
  <si>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</si>
  <si>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</si>
  <si>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</si>
  <si>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</si>
  <si>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</si>
  <si>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</si>
  <si>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</si>
  <si>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</si>
  <si>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</si>
  <si>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</si>
  <si>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</si>
  <si>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</si>
  <si>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</si>
  <si>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</si>
  <si>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</si>
  <si>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</si>
  <si>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</si>
  <si>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</si>
  <si>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</si>
  <si>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</si>
  <si>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</si>
  <si>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</si>
  <si>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</si>
  <si>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</si>
  <si>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</si>
  <si>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</si>
  <si>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</si>
  <si>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</si>
  <si>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</si>
  <si>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</si>
  <si>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</si>
  <si>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</si>
  <si>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</si>
  <si>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</si>
  <si>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</si>
  <si>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</si>
  <si>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</si>
  <si>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</si>
  <si>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</si>
  <si>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</si>
  <si>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</si>
  <si>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</si>
  <si>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</si>
  <si>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</si>
  <si>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</si>
  <si>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</si>
  <si>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</si>
  <si>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</si>
  <si>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</si>
  <si>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</si>
  <si>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</si>
  <si>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</si>
  <si>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</si>
  <si>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</si>
  <si>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</si>
  <si>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</si>
  <si>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</si>
  <si>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</si>
  <si>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</si>
  <si>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</si>
  <si>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</si>
  <si>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</si>
  <si>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</si>
  <si>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</si>
  <si>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</si>
  <si>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</si>
  <si>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</si>
  <si>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</si>
  <si>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</si>
  <si>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</si>
  <si>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</si>
  <si>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</si>
  <si>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</si>
  <si>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</si>
  <si>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</si>
  <si>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</si>
  <si>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</si>
  <si>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</si>
  <si>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</si>
  <si>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</si>
  <si>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</si>
  <si>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</si>
  <si>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37017</t>
  </si>
  <si>
    <t>WIELSBEKE</t>
  </si>
  <si>
    <t>referentietaak LNE (2017); Jaarverslag De Lijn</t>
  </si>
  <si>
    <t>waterkracht</t>
  </si>
  <si>
    <t>B &amp; N Knauf &amp; Cie - Isolava GCV</t>
  </si>
  <si>
    <t>Ooigemstraat 12 , 8710 Wielsbeke</t>
  </si>
  <si>
    <t>WKK-0224 B&amp;N Knauf &amp; Cie Isolava</t>
  </si>
  <si>
    <t>interne verbrandingsmotor</t>
  </si>
  <si>
    <t>WKK interne verbrandinsgmotor (gas)</t>
  </si>
  <si>
    <t>GASELWEST</t>
  </si>
  <si>
    <t>Knauf Isolava</t>
  </si>
  <si>
    <t>WKK-0778</t>
  </si>
  <si>
    <t>Interne verbrandingsmotor</t>
  </si>
  <si>
    <t>Vaartstraat 60, 8710 Wielsbeke, BE</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</si>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</sst>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75843.514519713208</c:v>
                </c:pt>
                <c:pt idx="1">
                  <c:v>25529.53963329906</c:v>
                </c:pt>
                <c:pt idx="2">
                  <c:v>940.399</c:v>
                </c:pt>
                <c:pt idx="3">
                  <c:v>5541.7801172638001</c:v>
                </c:pt>
                <c:pt idx="4">
                  <c:v>951366.14529140899</c:v>
                </c:pt>
                <c:pt idx="5">
                  <c:v>49896.806729311451</c:v>
                </c:pt>
                <c:pt idx="6">
                  <c:v>378.91266330099984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75843.514519713208</c:v>
                </c:pt>
                <c:pt idx="1">
                  <c:v>25529.53963329906</c:v>
                </c:pt>
                <c:pt idx="2">
                  <c:v>940.399</c:v>
                </c:pt>
                <c:pt idx="3">
                  <c:v>5541.7801172638001</c:v>
                </c:pt>
                <c:pt idx="4">
                  <c:v>951366.14529140899</c:v>
                </c:pt>
                <c:pt idx="5">
                  <c:v>49896.806729311451</c:v>
                </c:pt>
                <c:pt idx="6">
                  <c:v>378.91266330099984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15576.280367979083</c:v>
                </c:pt>
                <c:pt idx="1">
                  <c:v>5073.5790781896339</c:v>
                </c:pt>
                <c:pt idx="2">
                  <c:v>193.59324700833056</c:v>
                </c:pt>
                <c:pt idx="3">
                  <c:v>1411.7465080553868</c:v>
                </c:pt>
                <c:pt idx="4">
                  <c:v>197345.0344494879</c:v>
                </c:pt>
                <c:pt idx="5">
                  <c:v>12451.600172361077</c:v>
                </c:pt>
                <c:pt idx="6">
                  <c:v>95.641400327465604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15576.280367979083</c:v>
                </c:pt>
                <c:pt idx="1">
                  <c:v>5073.5790781896339</c:v>
                </c:pt>
                <c:pt idx="2">
                  <c:v>193.59324700833056</c:v>
                </c:pt>
                <c:pt idx="3">
                  <c:v>1411.7465080553868</c:v>
                </c:pt>
                <c:pt idx="4">
                  <c:v>197345.0344494879</c:v>
                </c:pt>
                <c:pt idx="5">
                  <c:v>12451.600172361077</c:v>
                </c:pt>
                <c:pt idx="6">
                  <c:v>95.641400327465604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37017</v>
      </c>
      <c r="B6" s="386"/>
      <c r="C6" s="387"/>
    </row>
    <row r="7" spans="1:7" s="384" customFormat="1" ht="15.75" customHeight="1">
      <c r="A7" s="388" t="str">
        <f>txtMunicipality</f>
        <v>WIELSBEKE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13495.292173644033</v>
      </c>
      <c r="D10" s="682">
        <f ca="1">tertiair!C16</f>
        <v>0</v>
      </c>
      <c r="E10" s="682">
        <f ca="1">tertiair!D16</f>
        <v>8858.8941857632726</v>
      </c>
      <c r="F10" s="682">
        <f>tertiair!E16</f>
        <v>51.433562525317335</v>
      </c>
      <c r="G10" s="682">
        <f ca="1">tertiair!F16</f>
        <v>2576.0704576887374</v>
      </c>
      <c r="H10" s="682">
        <f>tertiair!G16</f>
        <v>0</v>
      </c>
      <c r="I10" s="682">
        <f>tertiair!H16</f>
        <v>0</v>
      </c>
      <c r="J10" s="682">
        <f>tertiair!I16</f>
        <v>0</v>
      </c>
      <c r="K10" s="682">
        <f>tertiair!J16</f>
        <v>2.7536776377043846E-2</v>
      </c>
      <c r="L10" s="682">
        <f>tertiair!K16</f>
        <v>0</v>
      </c>
      <c r="M10" s="682">
        <f ca="1">tertiair!L16</f>
        <v>0</v>
      </c>
      <c r="N10" s="682">
        <f>tertiair!M16</f>
        <v>0</v>
      </c>
      <c r="O10" s="682">
        <f ca="1">tertiair!N16</f>
        <v>1000.6766898453413</v>
      </c>
      <c r="P10" s="682">
        <f>tertiair!O16</f>
        <v>14.691782297523464</v>
      </c>
      <c r="Q10" s="683">
        <f>tertiair!P16</f>
        <v>472.85224475845519</v>
      </c>
      <c r="R10" s="685">
        <f ca="1">SUM(C10:Q10)</f>
        <v>26469.938633299062</v>
      </c>
      <c r="S10" s="67"/>
    </row>
    <row r="11" spans="1:19" s="445" customFormat="1">
      <c r="A11" s="803" t="s">
        <v>220</v>
      </c>
      <c r="B11" s="808"/>
      <c r="C11" s="682">
        <f>huishoudens!B8</f>
        <v>15993.226900714146</v>
      </c>
      <c r="D11" s="682">
        <f>huishoudens!C8</f>
        <v>0</v>
      </c>
      <c r="E11" s="682">
        <f>huishoudens!D8</f>
        <v>31293.501474318324</v>
      </c>
      <c r="F11" s="682">
        <f>huishoudens!E8</f>
        <v>941.68336774710622</v>
      </c>
      <c r="G11" s="682">
        <f>huishoudens!F8</f>
        <v>21389.283583267515</v>
      </c>
      <c r="H11" s="682">
        <f>huishoudens!G8</f>
        <v>0</v>
      </c>
      <c r="I11" s="682">
        <f>huishoudens!H8</f>
        <v>0</v>
      </c>
      <c r="J11" s="682">
        <f>huishoudens!I8</f>
        <v>0</v>
      </c>
      <c r="K11" s="682">
        <f>huishoudens!J8</f>
        <v>107.00697698060867</v>
      </c>
      <c r="L11" s="682">
        <f>huishoudens!K8</f>
        <v>0</v>
      </c>
      <c r="M11" s="682">
        <f>huishoudens!L8</f>
        <v>0</v>
      </c>
      <c r="N11" s="682">
        <f>huishoudens!M8</f>
        <v>0</v>
      </c>
      <c r="O11" s="682">
        <f>huishoudens!N8</f>
        <v>5256.8253122248443</v>
      </c>
      <c r="P11" s="682">
        <f>huishoudens!O8</f>
        <v>335.28893907640838</v>
      </c>
      <c r="Q11" s="683">
        <f>huishoudens!P8</f>
        <v>526.69796538425112</v>
      </c>
      <c r="R11" s="685">
        <f>SUM(C11:Q11)</f>
        <v>75843.514519713208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376661.54400773795</v>
      </c>
      <c r="D13" s="682">
        <f>industrie!C18</f>
        <v>4204.2857142857147</v>
      </c>
      <c r="E13" s="682">
        <f>industrie!D18</f>
        <v>444840.00565525726</v>
      </c>
      <c r="F13" s="682">
        <f>industrie!E18</f>
        <v>882.68500034969043</v>
      </c>
      <c r="G13" s="682">
        <f>industrie!F18</f>
        <v>107665.41312203142</v>
      </c>
      <c r="H13" s="682">
        <f>industrie!G18</f>
        <v>0</v>
      </c>
      <c r="I13" s="682">
        <f>industrie!H18</f>
        <v>0</v>
      </c>
      <c r="J13" s="682">
        <f>industrie!I18</f>
        <v>0</v>
      </c>
      <c r="K13" s="682">
        <f>industrie!J18</f>
        <v>1.5591281619006767</v>
      </c>
      <c r="L13" s="682">
        <f>industrie!K18</f>
        <v>0</v>
      </c>
      <c r="M13" s="682">
        <f>industrie!L18</f>
        <v>0</v>
      </c>
      <c r="N13" s="682">
        <f>industrie!M18</f>
        <v>0</v>
      </c>
      <c r="O13" s="682">
        <f>industrie!N18</f>
        <v>17110.652663585188</v>
      </c>
      <c r="P13" s="682">
        <f>industrie!O18</f>
        <v>0</v>
      </c>
      <c r="Q13" s="683">
        <f>industrie!P18</f>
        <v>0</v>
      </c>
      <c r="R13" s="685">
        <f>SUM(C13:Q13)</f>
        <v>951366.14529140899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406150.06308209611</v>
      </c>
      <c r="D16" s="718">
        <f t="shared" ref="D16:R16" ca="1" si="0">SUM(D9:D15)</f>
        <v>4204.2857142857147</v>
      </c>
      <c r="E16" s="718">
        <f t="shared" ca="1" si="0"/>
        <v>484992.40131533885</v>
      </c>
      <c r="F16" s="718">
        <f t="shared" si="0"/>
        <v>1875.801930622114</v>
      </c>
      <c r="G16" s="718">
        <f t="shared" ca="1" si="0"/>
        <v>131630.76716298767</v>
      </c>
      <c r="H16" s="718">
        <f t="shared" si="0"/>
        <v>0</v>
      </c>
      <c r="I16" s="718">
        <f t="shared" si="0"/>
        <v>0</v>
      </c>
      <c r="J16" s="718">
        <f t="shared" si="0"/>
        <v>0</v>
      </c>
      <c r="K16" s="718">
        <f t="shared" si="0"/>
        <v>108.59364191888639</v>
      </c>
      <c r="L16" s="718">
        <f t="shared" si="0"/>
        <v>0</v>
      </c>
      <c r="M16" s="718">
        <f t="shared" ca="1" si="0"/>
        <v>0</v>
      </c>
      <c r="N16" s="718">
        <f t="shared" si="0"/>
        <v>0</v>
      </c>
      <c r="O16" s="718">
        <f t="shared" ca="1" si="0"/>
        <v>23368.154665655373</v>
      </c>
      <c r="P16" s="718">
        <f t="shared" si="0"/>
        <v>349.98072137393183</v>
      </c>
      <c r="Q16" s="718">
        <f t="shared" si="0"/>
        <v>999.55021014270631</v>
      </c>
      <c r="R16" s="718">
        <f t="shared" ca="1" si="0"/>
        <v>1053679.5984444213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4.9648145263900414</v>
      </c>
      <c r="D19" s="682">
        <f>transport!C54</f>
        <v>0</v>
      </c>
      <c r="E19" s="682">
        <f>transport!D54</f>
        <v>0</v>
      </c>
      <c r="F19" s="682">
        <f>transport!E54</f>
        <v>0</v>
      </c>
      <c r="G19" s="682">
        <f>transport!F54</f>
        <v>0</v>
      </c>
      <c r="H19" s="682">
        <f>transport!G54</f>
        <v>354.37951051556536</v>
      </c>
      <c r="I19" s="682">
        <f>transport!H54</f>
        <v>0</v>
      </c>
      <c r="J19" s="682">
        <f>transport!I54</f>
        <v>0</v>
      </c>
      <c r="K19" s="682">
        <f>transport!J54</f>
        <v>0</v>
      </c>
      <c r="L19" s="682">
        <f>transport!K54</f>
        <v>0</v>
      </c>
      <c r="M19" s="682">
        <f>transport!L54</f>
        <v>0</v>
      </c>
      <c r="N19" s="682">
        <f>transport!M54</f>
        <v>19.568338259044442</v>
      </c>
      <c r="O19" s="682">
        <f>transport!N54</f>
        <v>0</v>
      </c>
      <c r="P19" s="682">
        <f>transport!O54</f>
        <v>0</v>
      </c>
      <c r="Q19" s="683">
        <f>transport!P54</f>
        <v>0</v>
      </c>
      <c r="R19" s="685">
        <f>SUM(C19:Q19)</f>
        <v>378.91266330099984</v>
      </c>
      <c r="S19" s="67"/>
    </row>
    <row r="20" spans="1:19" s="445" customFormat="1">
      <c r="A20" s="803" t="s">
        <v>302</v>
      </c>
      <c r="B20" s="808"/>
      <c r="C20" s="682">
        <f>transport!B14</f>
        <v>60.075397657784819</v>
      </c>
      <c r="D20" s="682">
        <f>transport!C14</f>
        <v>0</v>
      </c>
      <c r="E20" s="682">
        <f>transport!D14</f>
        <v>116.37947707110371</v>
      </c>
      <c r="F20" s="682">
        <f>transport!E14</f>
        <v>63.35402719426898</v>
      </c>
      <c r="G20" s="682">
        <f>transport!F14</f>
        <v>0</v>
      </c>
      <c r="H20" s="682">
        <f>transport!G14</f>
        <v>39874.560026316751</v>
      </c>
      <c r="I20" s="682">
        <f>transport!H14</f>
        <v>7047.5314553449689</v>
      </c>
      <c r="J20" s="682">
        <f>transport!I14</f>
        <v>0</v>
      </c>
      <c r="K20" s="682">
        <f>transport!J14</f>
        <v>0</v>
      </c>
      <c r="L20" s="682">
        <f>transport!K14</f>
        <v>0</v>
      </c>
      <c r="M20" s="682">
        <f>transport!L14</f>
        <v>0</v>
      </c>
      <c r="N20" s="682">
        <f>transport!M14</f>
        <v>2734.9063457265729</v>
      </c>
      <c r="O20" s="682">
        <f>transport!N14</f>
        <v>0</v>
      </c>
      <c r="P20" s="682">
        <f>transport!O14</f>
        <v>0</v>
      </c>
      <c r="Q20" s="683">
        <f>transport!P14</f>
        <v>0</v>
      </c>
      <c r="R20" s="685">
        <f>SUM(C20:Q20)</f>
        <v>49896.806729311451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65.040212184174862</v>
      </c>
      <c r="D22" s="806">
        <f t="shared" ref="D22:R22" si="1">SUM(D18:D21)</f>
        <v>0</v>
      </c>
      <c r="E22" s="806">
        <f t="shared" si="1"/>
        <v>116.37947707110371</v>
      </c>
      <c r="F22" s="806">
        <f t="shared" si="1"/>
        <v>63.35402719426898</v>
      </c>
      <c r="G22" s="806">
        <f t="shared" si="1"/>
        <v>0</v>
      </c>
      <c r="H22" s="806">
        <f t="shared" si="1"/>
        <v>40228.939536832317</v>
      </c>
      <c r="I22" s="806">
        <f t="shared" si="1"/>
        <v>7047.5314553449689</v>
      </c>
      <c r="J22" s="806">
        <f t="shared" si="1"/>
        <v>0</v>
      </c>
      <c r="K22" s="806">
        <f t="shared" si="1"/>
        <v>0</v>
      </c>
      <c r="L22" s="806">
        <f t="shared" si="1"/>
        <v>0</v>
      </c>
      <c r="M22" s="806">
        <f t="shared" si="1"/>
        <v>0</v>
      </c>
      <c r="N22" s="806">
        <f t="shared" si="1"/>
        <v>2754.4746839856175</v>
      </c>
      <c r="O22" s="806">
        <f t="shared" si="1"/>
        <v>0</v>
      </c>
      <c r="P22" s="806">
        <f t="shared" si="1"/>
        <v>0</v>
      </c>
      <c r="Q22" s="806">
        <f t="shared" si="1"/>
        <v>0</v>
      </c>
      <c r="R22" s="806">
        <f t="shared" si="1"/>
        <v>50275.719392612453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1143.6954987030299</v>
      </c>
      <c r="D24" s="682">
        <f>+landbouw!C8</f>
        <v>0</v>
      </c>
      <c r="E24" s="682">
        <f>+landbouw!D8</f>
        <v>344.61686124165573</v>
      </c>
      <c r="F24" s="682">
        <f>+landbouw!E8</f>
        <v>42.651903461611482</v>
      </c>
      <c r="G24" s="682">
        <f>+landbouw!F8</f>
        <v>3710.5901391294919</v>
      </c>
      <c r="H24" s="682">
        <f>+landbouw!G8</f>
        <v>0</v>
      </c>
      <c r="I24" s="682">
        <f>+landbouw!H8</f>
        <v>0</v>
      </c>
      <c r="J24" s="682">
        <f>+landbouw!I8</f>
        <v>0</v>
      </c>
      <c r="K24" s="682">
        <f>+landbouw!J8</f>
        <v>300.2257147280115</v>
      </c>
      <c r="L24" s="682">
        <f>+landbouw!K8</f>
        <v>0</v>
      </c>
      <c r="M24" s="682">
        <f>+landbouw!L8</f>
        <v>0</v>
      </c>
      <c r="N24" s="682">
        <f>+landbouw!M8</f>
        <v>0</v>
      </c>
      <c r="O24" s="682">
        <f>+landbouw!N8</f>
        <v>0</v>
      </c>
      <c r="P24" s="682">
        <f>+landbouw!O8</f>
        <v>0</v>
      </c>
      <c r="Q24" s="683">
        <f>+landbouw!P8</f>
        <v>0</v>
      </c>
      <c r="R24" s="685">
        <f>SUM(C24:Q24)</f>
        <v>5541.7801172638001</v>
      </c>
      <c r="S24" s="67"/>
    </row>
    <row r="25" spans="1:19" s="445" customFormat="1" ht="15" thickBot="1">
      <c r="A25" s="825" t="s">
        <v>703</v>
      </c>
      <c r="B25" s="938"/>
      <c r="C25" s="939">
        <f>IF(Onbekend_ele_kWh="---",0,Onbekend_ele_kWh)/1000+IF(REST_rest_ele_kWh="---",0,REST_rest_ele_kWh)/1000</f>
        <v>455.47016773848298</v>
      </c>
      <c r="D25" s="939"/>
      <c r="E25" s="939">
        <f>IF(onbekend_gas_kWh="---",0,onbekend_gas_kWh)/1000+IF(REST_rest_gas_kWh="---",0,REST_rest_gas_kWh)/1000</f>
        <v>795.68422124711992</v>
      </c>
      <c r="F25" s="939"/>
      <c r="G25" s="939"/>
      <c r="H25" s="939"/>
      <c r="I25" s="939"/>
      <c r="J25" s="939"/>
      <c r="K25" s="939"/>
      <c r="L25" s="939"/>
      <c r="M25" s="939"/>
      <c r="N25" s="939"/>
      <c r="O25" s="939"/>
      <c r="P25" s="939"/>
      <c r="Q25" s="940"/>
      <c r="R25" s="685">
        <f>SUM(C25:Q25)</f>
        <v>1251.154388985603</v>
      </c>
      <c r="S25" s="67"/>
    </row>
    <row r="26" spans="1:19" s="445" customFormat="1" ht="15.75" thickBot="1">
      <c r="A26" s="690" t="s">
        <v>704</v>
      </c>
      <c r="B26" s="811"/>
      <c r="C26" s="806">
        <f>SUM(C24:C25)</f>
        <v>1599.1656664415129</v>
      </c>
      <c r="D26" s="806">
        <f t="shared" ref="D26:R26" si="2">SUM(D24:D25)</f>
        <v>0</v>
      </c>
      <c r="E26" s="806">
        <f t="shared" si="2"/>
        <v>1140.3010824887756</v>
      </c>
      <c r="F26" s="806">
        <f t="shared" si="2"/>
        <v>42.651903461611482</v>
      </c>
      <c r="G26" s="806">
        <f t="shared" si="2"/>
        <v>3710.5901391294919</v>
      </c>
      <c r="H26" s="806">
        <f t="shared" si="2"/>
        <v>0</v>
      </c>
      <c r="I26" s="806">
        <f t="shared" si="2"/>
        <v>0</v>
      </c>
      <c r="J26" s="806">
        <f t="shared" si="2"/>
        <v>0</v>
      </c>
      <c r="K26" s="806">
        <f t="shared" si="2"/>
        <v>300.2257147280115</v>
      </c>
      <c r="L26" s="806">
        <f t="shared" si="2"/>
        <v>0</v>
      </c>
      <c r="M26" s="806">
        <f t="shared" si="2"/>
        <v>0</v>
      </c>
      <c r="N26" s="806">
        <f t="shared" si="2"/>
        <v>0</v>
      </c>
      <c r="O26" s="806">
        <f t="shared" si="2"/>
        <v>0</v>
      </c>
      <c r="P26" s="806">
        <f t="shared" si="2"/>
        <v>0</v>
      </c>
      <c r="Q26" s="806">
        <f t="shared" si="2"/>
        <v>0</v>
      </c>
      <c r="R26" s="806">
        <f t="shared" si="2"/>
        <v>6792.9345062494031</v>
      </c>
      <c r="S26" s="67"/>
    </row>
    <row r="27" spans="1:19" s="445" customFormat="1" ht="17.25" thickTop="1" thickBot="1">
      <c r="A27" s="691" t="s">
        <v>115</v>
      </c>
      <c r="B27" s="798"/>
      <c r="C27" s="692">
        <f ca="1">C22+C16+C26</f>
        <v>407814.26896072179</v>
      </c>
      <c r="D27" s="692">
        <f t="shared" ref="D27:R27" ca="1" si="3">D22+D16+D26</f>
        <v>4204.2857142857147</v>
      </c>
      <c r="E27" s="692">
        <f t="shared" ca="1" si="3"/>
        <v>486249.08187489875</v>
      </c>
      <c r="F27" s="692">
        <f t="shared" si="3"/>
        <v>1981.8078612779946</v>
      </c>
      <c r="G27" s="692">
        <f t="shared" ca="1" si="3"/>
        <v>135341.35730211716</v>
      </c>
      <c r="H27" s="692">
        <f t="shared" si="3"/>
        <v>40228.939536832317</v>
      </c>
      <c r="I27" s="692">
        <f t="shared" si="3"/>
        <v>7047.5314553449689</v>
      </c>
      <c r="J27" s="692">
        <f t="shared" si="3"/>
        <v>0</v>
      </c>
      <c r="K27" s="692">
        <f t="shared" si="3"/>
        <v>408.81935664689786</v>
      </c>
      <c r="L27" s="692">
        <f t="shared" si="3"/>
        <v>0</v>
      </c>
      <c r="M27" s="692">
        <f t="shared" ca="1" si="3"/>
        <v>0</v>
      </c>
      <c r="N27" s="692">
        <f t="shared" si="3"/>
        <v>2754.4746839856175</v>
      </c>
      <c r="O27" s="692">
        <f t="shared" ca="1" si="3"/>
        <v>23368.154665655373</v>
      </c>
      <c r="P27" s="692">
        <f t="shared" si="3"/>
        <v>349.98072137393183</v>
      </c>
      <c r="Q27" s="692">
        <f t="shared" si="3"/>
        <v>999.55021014270631</v>
      </c>
      <c r="R27" s="692">
        <f t="shared" ca="1" si="3"/>
        <v>1110748.252343283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2778.1797207588056</v>
      </c>
      <c r="D40" s="682">
        <f ca="1">tertiair!C20</f>
        <v>0</v>
      </c>
      <c r="E40" s="682">
        <f ca="1">tertiair!D20</f>
        <v>1789.4966255241811</v>
      </c>
      <c r="F40" s="682">
        <f>tertiair!E20</f>
        <v>11.675418693247035</v>
      </c>
      <c r="G40" s="682">
        <f ca="1">tertiair!F20</f>
        <v>687.81081220289298</v>
      </c>
      <c r="H40" s="682">
        <f>tertiair!G20</f>
        <v>0</v>
      </c>
      <c r="I40" s="682">
        <f>tertiair!H20</f>
        <v>0</v>
      </c>
      <c r="J40" s="682">
        <f>tertiair!I20</f>
        <v>0</v>
      </c>
      <c r="K40" s="682">
        <f>tertiair!J20</f>
        <v>9.7480188374735217E-3</v>
      </c>
      <c r="L40" s="682">
        <f>tertiair!K20</f>
        <v>0</v>
      </c>
      <c r="M40" s="682">
        <f ca="1">tertiair!L20</f>
        <v>0</v>
      </c>
      <c r="N40" s="682">
        <f>tertiair!M20</f>
        <v>0</v>
      </c>
      <c r="O40" s="682">
        <f ca="1">tertiair!N20</f>
        <v>0</v>
      </c>
      <c r="P40" s="682">
        <f>tertiair!O20</f>
        <v>0</v>
      </c>
      <c r="Q40" s="765">
        <f>tertiair!P20</f>
        <v>0</v>
      </c>
      <c r="R40" s="844">
        <f t="shared" ca="1" si="4"/>
        <v>5267.1723251979638</v>
      </c>
    </row>
    <row r="41" spans="1:18">
      <c r="A41" s="816" t="s">
        <v>220</v>
      </c>
      <c r="B41" s="823"/>
      <c r="C41" s="682">
        <f ca="1">huishoudens!B12</f>
        <v>3292.4117591046256</v>
      </c>
      <c r="D41" s="682">
        <f ca="1">huishoudens!C12</f>
        <v>0</v>
      </c>
      <c r="E41" s="682">
        <f>huishoudens!D12</f>
        <v>6321.2872978123014</v>
      </c>
      <c r="F41" s="682">
        <f>huishoudens!E12</f>
        <v>213.76212447859311</v>
      </c>
      <c r="G41" s="682">
        <f>huishoudens!F12</f>
        <v>5710.9387167324267</v>
      </c>
      <c r="H41" s="682">
        <f>huishoudens!G12</f>
        <v>0</v>
      </c>
      <c r="I41" s="682">
        <f>huishoudens!H12</f>
        <v>0</v>
      </c>
      <c r="J41" s="682">
        <f>huishoudens!I12</f>
        <v>0</v>
      </c>
      <c r="K41" s="682">
        <f>huishoudens!J12</f>
        <v>37.880469851135466</v>
      </c>
      <c r="L41" s="682">
        <f>huishoudens!K12</f>
        <v>0</v>
      </c>
      <c r="M41" s="682">
        <f>huishoudens!L12</f>
        <v>0</v>
      </c>
      <c r="N41" s="682">
        <f>huishoudens!M12</f>
        <v>0</v>
      </c>
      <c r="O41" s="682">
        <f>huishoudens!N12</f>
        <v>0</v>
      </c>
      <c r="P41" s="682">
        <f>huishoudens!O12</f>
        <v>0</v>
      </c>
      <c r="Q41" s="765">
        <f>huishoudens!P12</f>
        <v>0</v>
      </c>
      <c r="R41" s="844">
        <f t="shared" ca="1" si="4"/>
        <v>15576.280367979083</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77540.630442641035</v>
      </c>
      <c r="D43" s="682">
        <f ca="1">industrie!C22</f>
        <v>999.13613445378166</v>
      </c>
      <c r="E43" s="682">
        <f>industrie!D22</f>
        <v>89857.68114236198</v>
      </c>
      <c r="F43" s="682">
        <f>industrie!E22</f>
        <v>200.36949507937973</v>
      </c>
      <c r="G43" s="682">
        <f>industrie!F22</f>
        <v>28746.665303582391</v>
      </c>
      <c r="H43" s="682">
        <f>industrie!G22</f>
        <v>0</v>
      </c>
      <c r="I43" s="682">
        <f>industrie!H22</f>
        <v>0</v>
      </c>
      <c r="J43" s="682">
        <f>industrie!I22</f>
        <v>0</v>
      </c>
      <c r="K43" s="682">
        <f>industrie!J22</f>
        <v>0.55193136931283948</v>
      </c>
      <c r="L43" s="682">
        <f>industrie!K22</f>
        <v>0</v>
      </c>
      <c r="M43" s="682">
        <f>industrie!L22</f>
        <v>0</v>
      </c>
      <c r="N43" s="682">
        <f>industrie!M22</f>
        <v>0</v>
      </c>
      <c r="O43" s="682">
        <f>industrie!N22</f>
        <v>0</v>
      </c>
      <c r="P43" s="682">
        <f>industrie!O22</f>
        <v>0</v>
      </c>
      <c r="Q43" s="765">
        <f>industrie!P22</f>
        <v>0</v>
      </c>
      <c r="R43" s="843">
        <f t="shared" ca="1" si="4"/>
        <v>197345.0344494879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83611.221922504468</v>
      </c>
      <c r="D46" s="718">
        <f t="shared" ref="D46:Q46" ca="1" si="5">SUM(D39:D45)</f>
        <v>999.13613445378166</v>
      </c>
      <c r="E46" s="718">
        <f t="shared" ca="1" si="5"/>
        <v>97968.46506569846</v>
      </c>
      <c r="F46" s="718">
        <f t="shared" si="5"/>
        <v>425.80703825121986</v>
      </c>
      <c r="G46" s="718">
        <f t="shared" ca="1" si="5"/>
        <v>35145.414832517708</v>
      </c>
      <c r="H46" s="718">
        <f t="shared" si="5"/>
        <v>0</v>
      </c>
      <c r="I46" s="718">
        <f t="shared" si="5"/>
        <v>0</v>
      </c>
      <c r="J46" s="718">
        <f t="shared" si="5"/>
        <v>0</v>
      </c>
      <c r="K46" s="718">
        <f t="shared" si="5"/>
        <v>38.442149239285776</v>
      </c>
      <c r="L46" s="718">
        <f t="shared" si="5"/>
        <v>0</v>
      </c>
      <c r="M46" s="718">
        <f t="shared" ca="1" si="5"/>
        <v>0</v>
      </c>
      <c r="N46" s="718">
        <f t="shared" si="5"/>
        <v>0</v>
      </c>
      <c r="O46" s="718">
        <f t="shared" ca="1" si="5"/>
        <v>0</v>
      </c>
      <c r="P46" s="718">
        <f t="shared" si="5"/>
        <v>0</v>
      </c>
      <c r="Q46" s="718">
        <f t="shared" si="5"/>
        <v>0</v>
      </c>
      <c r="R46" s="718">
        <f ca="1">SUM(R39:R45)</f>
        <v>218188.48714266493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1.0220710198096501</v>
      </c>
      <c r="D49" s="682">
        <f ca="1">transport!C58</f>
        <v>0</v>
      </c>
      <c r="E49" s="682">
        <f>transport!D58</f>
        <v>0</v>
      </c>
      <c r="F49" s="682">
        <f>transport!E58</f>
        <v>0</v>
      </c>
      <c r="G49" s="682">
        <f>transport!F58</f>
        <v>0</v>
      </c>
      <c r="H49" s="682">
        <f>transport!G58</f>
        <v>94.61932930765596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95.641400327465604</v>
      </c>
    </row>
    <row r="50" spans="1:18">
      <c r="A50" s="819" t="s">
        <v>302</v>
      </c>
      <c r="B50" s="829"/>
      <c r="C50" s="688">
        <f ca="1">transport!B18</f>
        <v>12.367294412145505</v>
      </c>
      <c r="D50" s="688">
        <f>transport!C18</f>
        <v>0</v>
      </c>
      <c r="E50" s="688">
        <f>transport!D18</f>
        <v>23.508654368362951</v>
      </c>
      <c r="F50" s="688">
        <f>transport!E18</f>
        <v>14.381364173099058</v>
      </c>
      <c r="G50" s="688">
        <f>transport!F18</f>
        <v>0</v>
      </c>
      <c r="H50" s="688">
        <f>transport!G18</f>
        <v>10646.507527026573</v>
      </c>
      <c r="I50" s="688">
        <f>transport!H18</f>
        <v>1754.8353323808972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12451.600172361077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13.389365431955154</v>
      </c>
      <c r="D52" s="718">
        <f t="shared" ref="D52:Q52" ca="1" si="6">SUM(D48:D51)</f>
        <v>0</v>
      </c>
      <c r="E52" s="718">
        <f t="shared" si="6"/>
        <v>23.508654368362951</v>
      </c>
      <c r="F52" s="718">
        <f t="shared" si="6"/>
        <v>14.381364173099058</v>
      </c>
      <c r="G52" s="718">
        <f t="shared" si="6"/>
        <v>0</v>
      </c>
      <c r="H52" s="718">
        <f t="shared" si="6"/>
        <v>10741.126856334229</v>
      </c>
      <c r="I52" s="718">
        <f t="shared" si="6"/>
        <v>1754.8353323808972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12547.241572688543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235.44444983749611</v>
      </c>
      <c r="D54" s="688">
        <f ca="1">+landbouw!C12</f>
        <v>0</v>
      </c>
      <c r="E54" s="688">
        <f>+landbouw!D12</f>
        <v>69.612605970814457</v>
      </c>
      <c r="F54" s="688">
        <f>+landbouw!E12</f>
        <v>9.6819820857858065</v>
      </c>
      <c r="G54" s="688">
        <f>+landbouw!F12</f>
        <v>990.7275671475744</v>
      </c>
      <c r="H54" s="688">
        <f>+landbouw!G12</f>
        <v>0</v>
      </c>
      <c r="I54" s="688">
        <f>+landbouw!H12</f>
        <v>0</v>
      </c>
      <c r="J54" s="688">
        <f>+landbouw!I12</f>
        <v>0</v>
      </c>
      <c r="K54" s="688">
        <f>+landbouw!J12</f>
        <v>106.27990301371607</v>
      </c>
      <c r="L54" s="688">
        <f>+landbouw!K12</f>
        <v>0</v>
      </c>
      <c r="M54" s="688">
        <f>+landbouw!L12</f>
        <v>0</v>
      </c>
      <c r="N54" s="688">
        <f>+landbouw!M12</f>
        <v>0</v>
      </c>
      <c r="O54" s="688">
        <f>+landbouw!N12</f>
        <v>0</v>
      </c>
      <c r="P54" s="688">
        <f>+landbouw!O12</f>
        <v>0</v>
      </c>
      <c r="Q54" s="689">
        <f>+landbouw!P12</f>
        <v>0</v>
      </c>
      <c r="R54" s="717">
        <f ca="1">SUM(C54:Q54)</f>
        <v>1411.7465080553868</v>
      </c>
    </row>
    <row r="55" spans="1:18" ht="15" thickBot="1">
      <c r="A55" s="819" t="s">
        <v>703</v>
      </c>
      <c r="B55" s="829"/>
      <c r="C55" s="688">
        <f ca="1">C25*'EF ele_warmte'!B12</f>
        <v>93.764400736200159</v>
      </c>
      <c r="D55" s="688"/>
      <c r="E55" s="688">
        <f>E25*EF_CO2_aardgas</f>
        <v>160.72821269191823</v>
      </c>
      <c r="F55" s="688"/>
      <c r="G55" s="688"/>
      <c r="H55" s="688"/>
      <c r="I55" s="688"/>
      <c r="J55" s="688"/>
      <c r="K55" s="688"/>
      <c r="L55" s="688"/>
      <c r="M55" s="688"/>
      <c r="N55" s="688"/>
      <c r="O55" s="688"/>
      <c r="P55" s="688"/>
      <c r="Q55" s="689"/>
      <c r="R55" s="717">
        <f ca="1">SUM(C55:Q55)</f>
        <v>254.49261342811837</v>
      </c>
    </row>
    <row r="56" spans="1:18" ht="15.75" thickBot="1">
      <c r="A56" s="817" t="s">
        <v>704</v>
      </c>
      <c r="B56" s="830"/>
      <c r="C56" s="718">
        <f ca="1">SUM(C54:C55)</f>
        <v>329.20885057369628</v>
      </c>
      <c r="D56" s="718">
        <f t="shared" ref="D56:Q56" ca="1" si="7">SUM(D54:D55)</f>
        <v>0</v>
      </c>
      <c r="E56" s="718">
        <f t="shared" si="7"/>
        <v>230.34081866273269</v>
      </c>
      <c r="F56" s="718">
        <f t="shared" si="7"/>
        <v>9.6819820857858065</v>
      </c>
      <c r="G56" s="718">
        <f t="shared" si="7"/>
        <v>990.7275671475744</v>
      </c>
      <c r="H56" s="718">
        <f t="shared" si="7"/>
        <v>0</v>
      </c>
      <c r="I56" s="718">
        <f t="shared" si="7"/>
        <v>0</v>
      </c>
      <c r="J56" s="718">
        <f t="shared" si="7"/>
        <v>0</v>
      </c>
      <c r="K56" s="718">
        <f t="shared" si="7"/>
        <v>106.27990301371607</v>
      </c>
      <c r="L56" s="718">
        <f t="shared" si="7"/>
        <v>0</v>
      </c>
      <c r="M56" s="718">
        <f t="shared" si="7"/>
        <v>0</v>
      </c>
      <c r="N56" s="718">
        <f t="shared" si="7"/>
        <v>0</v>
      </c>
      <c r="O56" s="718">
        <f t="shared" si="7"/>
        <v>0</v>
      </c>
      <c r="P56" s="718">
        <f t="shared" si="7"/>
        <v>0</v>
      </c>
      <c r="Q56" s="719">
        <f t="shared" si="7"/>
        <v>0</v>
      </c>
      <c r="R56" s="720">
        <f ca="1">SUM(R54:R55)</f>
        <v>1666.2391214835052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83953.820138510113</v>
      </c>
      <c r="D61" s="726">
        <f t="shared" ref="D61:Q61" ca="1" si="8">D46+D52+D56</f>
        <v>999.13613445378166</v>
      </c>
      <c r="E61" s="726">
        <f t="shared" ca="1" si="8"/>
        <v>98222.314538729552</v>
      </c>
      <c r="F61" s="726">
        <f t="shared" si="8"/>
        <v>449.87038451010477</v>
      </c>
      <c r="G61" s="726">
        <f t="shared" ca="1" si="8"/>
        <v>36136.142399665281</v>
      </c>
      <c r="H61" s="726">
        <f t="shared" si="8"/>
        <v>10741.126856334229</v>
      </c>
      <c r="I61" s="726">
        <f t="shared" si="8"/>
        <v>1754.8353323808972</v>
      </c>
      <c r="J61" s="726">
        <f t="shared" si="8"/>
        <v>0</v>
      </c>
      <c r="K61" s="726">
        <f t="shared" si="8"/>
        <v>144.72205225300183</v>
      </c>
      <c r="L61" s="726">
        <f t="shared" si="8"/>
        <v>0</v>
      </c>
      <c r="M61" s="726">
        <f t="shared" ca="1" si="8"/>
        <v>0</v>
      </c>
      <c r="N61" s="726">
        <f t="shared" si="8"/>
        <v>0</v>
      </c>
      <c r="O61" s="726">
        <f t="shared" ca="1" si="8"/>
        <v>0</v>
      </c>
      <c r="P61" s="726">
        <f t="shared" si="8"/>
        <v>0</v>
      </c>
      <c r="Q61" s="726">
        <f t="shared" si="8"/>
        <v>0</v>
      </c>
      <c r="R61" s="726">
        <f ca="1">R46+R52+R56</f>
        <v>232401.96783683696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0.20586288055211732</v>
      </c>
      <c r="D63" s="772">
        <f t="shared" ca="1" si="9"/>
        <v>0.23764705882352943</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17158.66804079678</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10995.746420411631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2943</v>
      </c>
      <c r="D76" s="947">
        <f>'lokale energieproductie'!C8</f>
        <v>3462.3529411764707</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699.39529411764715</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28154.414461208413</v>
      </c>
      <c r="C78" s="744">
        <f>SUM(C72:C77)</f>
        <v>2943</v>
      </c>
      <c r="D78" s="745">
        <f t="shared" ref="D78:H78" si="10">SUM(D76:D77)</f>
        <v>3462.3529411764707</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699.39529411764715</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4204.2857142857147</v>
      </c>
      <c r="D87" s="768">
        <f>'lokale energieproductie'!C17</f>
        <v>4946.2184873949582</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999.13613445378166</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4204.2857142857147</v>
      </c>
      <c r="D90" s="744">
        <f t="shared" ref="D90:H90" si="12">SUM(D87:D89)</f>
        <v>4946.2184873949582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999.13613445378166</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15993.226900714146</v>
      </c>
      <c r="C4" s="449">
        <f>huishoudens!C8</f>
        <v>0</v>
      </c>
      <c r="D4" s="449">
        <f>huishoudens!D8</f>
        <v>31293.501474318324</v>
      </c>
      <c r="E4" s="449">
        <f>huishoudens!E8</f>
        <v>941.68336774710622</v>
      </c>
      <c r="F4" s="449">
        <f>huishoudens!F8</f>
        <v>21389.283583267515</v>
      </c>
      <c r="G4" s="449">
        <f>huishoudens!G8</f>
        <v>0</v>
      </c>
      <c r="H4" s="449">
        <f>huishoudens!H8</f>
        <v>0</v>
      </c>
      <c r="I4" s="449">
        <f>huishoudens!I8</f>
        <v>0</v>
      </c>
      <c r="J4" s="449">
        <f>huishoudens!J8</f>
        <v>107.00697698060867</v>
      </c>
      <c r="K4" s="449">
        <f>huishoudens!K8</f>
        <v>0</v>
      </c>
      <c r="L4" s="449">
        <f>huishoudens!L8</f>
        <v>0</v>
      </c>
      <c r="M4" s="449">
        <f>huishoudens!M8</f>
        <v>0</v>
      </c>
      <c r="N4" s="449">
        <f>huishoudens!N8</f>
        <v>5256.8253122248443</v>
      </c>
      <c r="O4" s="449">
        <f>huishoudens!O8</f>
        <v>335.28893907640838</v>
      </c>
      <c r="P4" s="450">
        <f>huishoudens!P8</f>
        <v>526.69796538425112</v>
      </c>
      <c r="Q4" s="451">
        <f>SUM(B4:P4)</f>
        <v>75843.514519713208</v>
      </c>
    </row>
    <row r="5" spans="1:17">
      <c r="A5" s="448" t="s">
        <v>155</v>
      </c>
      <c r="B5" s="449">
        <f ca="1">tertiair!B16</f>
        <v>12554.893173644034</v>
      </c>
      <c r="C5" s="449">
        <f ca="1">tertiair!C16</f>
        <v>0</v>
      </c>
      <c r="D5" s="449">
        <f ca="1">tertiair!D16</f>
        <v>8858.8941857632726</v>
      </c>
      <c r="E5" s="449">
        <f>tertiair!E16</f>
        <v>51.433562525317335</v>
      </c>
      <c r="F5" s="449">
        <f ca="1">tertiair!F16</f>
        <v>2576.0704576887374</v>
      </c>
      <c r="G5" s="449">
        <f>tertiair!G16</f>
        <v>0</v>
      </c>
      <c r="H5" s="449">
        <f>tertiair!H16</f>
        <v>0</v>
      </c>
      <c r="I5" s="449">
        <f>tertiair!I16</f>
        <v>0</v>
      </c>
      <c r="J5" s="449">
        <f>tertiair!J16</f>
        <v>2.7536776377043846E-2</v>
      </c>
      <c r="K5" s="449">
        <f>tertiair!K16</f>
        <v>0</v>
      </c>
      <c r="L5" s="449">
        <f ca="1">tertiair!L16</f>
        <v>0</v>
      </c>
      <c r="M5" s="449">
        <f>tertiair!M16</f>
        <v>0</v>
      </c>
      <c r="N5" s="449">
        <f ca="1">tertiair!N16</f>
        <v>1000.6766898453413</v>
      </c>
      <c r="O5" s="449">
        <f>tertiair!O16</f>
        <v>14.691782297523464</v>
      </c>
      <c r="P5" s="450">
        <f>tertiair!P16</f>
        <v>472.85224475845519</v>
      </c>
      <c r="Q5" s="448">
        <f t="shared" ref="Q5:Q14" ca="1" si="0">SUM(B5:P5)</f>
        <v>25529.53963329906</v>
      </c>
    </row>
    <row r="6" spans="1:17">
      <c r="A6" s="448" t="s">
        <v>193</v>
      </c>
      <c r="B6" s="449">
        <f>'openbare verlichting'!B8</f>
        <v>940.399</v>
      </c>
      <c r="C6" s="449"/>
      <c r="D6" s="449"/>
      <c r="E6" s="449"/>
      <c r="F6" s="449"/>
      <c r="G6" s="449"/>
      <c r="H6" s="449"/>
      <c r="I6" s="449"/>
      <c r="J6" s="449"/>
      <c r="K6" s="449"/>
      <c r="L6" s="449"/>
      <c r="M6" s="449"/>
      <c r="N6" s="449"/>
      <c r="O6" s="449"/>
      <c r="P6" s="450"/>
      <c r="Q6" s="448">
        <f t="shared" si="0"/>
        <v>940.399</v>
      </c>
    </row>
    <row r="7" spans="1:17">
      <c r="A7" s="448" t="s">
        <v>111</v>
      </c>
      <c r="B7" s="449">
        <f>landbouw!B8</f>
        <v>1143.6954987030299</v>
      </c>
      <c r="C7" s="449">
        <f>landbouw!C8</f>
        <v>0</v>
      </c>
      <c r="D7" s="449">
        <f>landbouw!D8</f>
        <v>344.61686124165573</v>
      </c>
      <c r="E7" s="449">
        <f>landbouw!E8</f>
        <v>42.651903461611482</v>
      </c>
      <c r="F7" s="449">
        <f>landbouw!F8</f>
        <v>3710.5901391294919</v>
      </c>
      <c r="G7" s="449">
        <f>landbouw!G8</f>
        <v>0</v>
      </c>
      <c r="H7" s="449">
        <f>landbouw!H8</f>
        <v>0</v>
      </c>
      <c r="I7" s="449">
        <f>landbouw!I8</f>
        <v>0</v>
      </c>
      <c r="J7" s="449">
        <f>landbouw!J8</f>
        <v>300.2257147280115</v>
      </c>
      <c r="K7" s="449">
        <f>landbouw!K8</f>
        <v>0</v>
      </c>
      <c r="L7" s="449">
        <f>landbouw!L8</f>
        <v>0</v>
      </c>
      <c r="M7" s="449">
        <f>landbouw!M8</f>
        <v>0</v>
      </c>
      <c r="N7" s="449">
        <f>landbouw!N8</f>
        <v>0</v>
      </c>
      <c r="O7" s="449">
        <f>landbouw!O8</f>
        <v>0</v>
      </c>
      <c r="P7" s="450">
        <f>landbouw!P8</f>
        <v>0</v>
      </c>
      <c r="Q7" s="448">
        <f t="shared" si="0"/>
        <v>5541.7801172638001</v>
      </c>
    </row>
    <row r="8" spans="1:17">
      <c r="A8" s="448" t="s">
        <v>618</v>
      </c>
      <c r="B8" s="449">
        <f>industrie!B18</f>
        <v>376661.54400773795</v>
      </c>
      <c r="C8" s="449">
        <f>industrie!C18</f>
        <v>4204.2857142857147</v>
      </c>
      <c r="D8" s="449">
        <f>industrie!D18</f>
        <v>444840.00565525726</v>
      </c>
      <c r="E8" s="449">
        <f>industrie!E18</f>
        <v>882.68500034969043</v>
      </c>
      <c r="F8" s="449">
        <f>industrie!F18</f>
        <v>107665.41312203142</v>
      </c>
      <c r="G8" s="449">
        <f>industrie!G18</f>
        <v>0</v>
      </c>
      <c r="H8" s="449">
        <f>industrie!H18</f>
        <v>0</v>
      </c>
      <c r="I8" s="449">
        <f>industrie!I18</f>
        <v>0</v>
      </c>
      <c r="J8" s="449">
        <f>industrie!J18</f>
        <v>1.5591281619006767</v>
      </c>
      <c r="K8" s="449">
        <f>industrie!K18</f>
        <v>0</v>
      </c>
      <c r="L8" s="449">
        <f>industrie!L18</f>
        <v>0</v>
      </c>
      <c r="M8" s="449">
        <f>industrie!M18</f>
        <v>0</v>
      </c>
      <c r="N8" s="449">
        <f>industrie!N18</f>
        <v>17110.652663585188</v>
      </c>
      <c r="O8" s="449">
        <f>industrie!O18</f>
        <v>0</v>
      </c>
      <c r="P8" s="450">
        <f>industrie!P18</f>
        <v>0</v>
      </c>
      <c r="Q8" s="448">
        <f t="shared" si="0"/>
        <v>951366.14529140899</v>
      </c>
    </row>
    <row r="9" spans="1:17" s="454" customFormat="1">
      <c r="A9" s="452" t="s">
        <v>544</v>
      </c>
      <c r="B9" s="453">
        <f>transport!B14</f>
        <v>60.075397657784819</v>
      </c>
      <c r="C9" s="453">
        <f>transport!C14</f>
        <v>0</v>
      </c>
      <c r="D9" s="453">
        <f>transport!D14</f>
        <v>116.37947707110371</v>
      </c>
      <c r="E9" s="453">
        <f>transport!E14</f>
        <v>63.35402719426898</v>
      </c>
      <c r="F9" s="453">
        <f>transport!F14</f>
        <v>0</v>
      </c>
      <c r="G9" s="453">
        <f>transport!G14</f>
        <v>39874.560026316751</v>
      </c>
      <c r="H9" s="453">
        <f>transport!H14</f>
        <v>7047.5314553449689</v>
      </c>
      <c r="I9" s="453">
        <f>transport!I14</f>
        <v>0</v>
      </c>
      <c r="J9" s="453">
        <f>transport!J14</f>
        <v>0</v>
      </c>
      <c r="K9" s="453">
        <f>transport!K14</f>
        <v>0</v>
      </c>
      <c r="L9" s="453">
        <f>transport!L14</f>
        <v>0</v>
      </c>
      <c r="M9" s="453">
        <f>transport!M14</f>
        <v>2734.9063457265729</v>
      </c>
      <c r="N9" s="453">
        <f>transport!N14</f>
        <v>0</v>
      </c>
      <c r="O9" s="453">
        <f>transport!O14</f>
        <v>0</v>
      </c>
      <c r="P9" s="453">
        <f>transport!P14</f>
        <v>0</v>
      </c>
      <c r="Q9" s="452">
        <f>SUM(B9:P9)</f>
        <v>49896.806729311451</v>
      </c>
    </row>
    <row r="10" spans="1:17">
      <c r="A10" s="448" t="s">
        <v>534</v>
      </c>
      <c r="B10" s="449">
        <f>transport!B54</f>
        <v>4.9648145263900414</v>
      </c>
      <c r="C10" s="449">
        <f>transport!C54</f>
        <v>0</v>
      </c>
      <c r="D10" s="449">
        <f>transport!D54</f>
        <v>0</v>
      </c>
      <c r="E10" s="449">
        <f>transport!E54</f>
        <v>0</v>
      </c>
      <c r="F10" s="449">
        <f>transport!F54</f>
        <v>0</v>
      </c>
      <c r="G10" s="449">
        <f>transport!G54</f>
        <v>354.37951051556536</v>
      </c>
      <c r="H10" s="449">
        <f>transport!H54</f>
        <v>0</v>
      </c>
      <c r="I10" s="449">
        <f>transport!I54</f>
        <v>0</v>
      </c>
      <c r="J10" s="449">
        <f>transport!J54</f>
        <v>0</v>
      </c>
      <c r="K10" s="449">
        <f>transport!K54</f>
        <v>0</v>
      </c>
      <c r="L10" s="449">
        <f>transport!L54</f>
        <v>0</v>
      </c>
      <c r="M10" s="449">
        <f>transport!M54</f>
        <v>19.568338259044442</v>
      </c>
      <c r="N10" s="449">
        <f>transport!N54</f>
        <v>0</v>
      </c>
      <c r="O10" s="449">
        <f>transport!O54</f>
        <v>0</v>
      </c>
      <c r="P10" s="450">
        <f>transport!P54</f>
        <v>0</v>
      </c>
      <c r="Q10" s="448">
        <f t="shared" si="0"/>
        <v>378.91266330099984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455.47016773848298</v>
      </c>
      <c r="C14" s="456"/>
      <c r="D14" s="456">
        <f>'SEAP template'!E25</f>
        <v>795.68422124711992</v>
      </c>
      <c r="E14" s="456"/>
      <c r="F14" s="456"/>
      <c r="G14" s="456"/>
      <c r="H14" s="456"/>
      <c r="I14" s="456"/>
      <c r="J14" s="456"/>
      <c r="K14" s="456"/>
      <c r="L14" s="456"/>
      <c r="M14" s="456"/>
      <c r="N14" s="456"/>
      <c r="O14" s="456"/>
      <c r="P14" s="457"/>
      <c r="Q14" s="448">
        <f t="shared" si="0"/>
        <v>1251.154388985603</v>
      </c>
    </row>
    <row r="15" spans="1:17" s="460" customFormat="1">
      <c r="A15" s="458" t="s">
        <v>538</v>
      </c>
      <c r="B15" s="459">
        <f ca="1">SUM(B4:B14)</f>
        <v>407814.26896072185</v>
      </c>
      <c r="C15" s="459">
        <f t="shared" ref="C15:Q15" ca="1" si="1">SUM(C4:C14)</f>
        <v>4204.2857142857147</v>
      </c>
      <c r="D15" s="459">
        <f t="shared" ca="1" si="1"/>
        <v>486249.08187489875</v>
      </c>
      <c r="E15" s="459">
        <f t="shared" si="1"/>
        <v>1981.8078612779946</v>
      </c>
      <c r="F15" s="459">
        <f t="shared" ca="1" si="1"/>
        <v>135341.35730211716</v>
      </c>
      <c r="G15" s="459">
        <f t="shared" si="1"/>
        <v>40228.939536832317</v>
      </c>
      <c r="H15" s="459">
        <f t="shared" si="1"/>
        <v>7047.5314553449689</v>
      </c>
      <c r="I15" s="459">
        <f t="shared" si="1"/>
        <v>0</v>
      </c>
      <c r="J15" s="459">
        <f t="shared" si="1"/>
        <v>408.81935664689792</v>
      </c>
      <c r="K15" s="459">
        <f t="shared" si="1"/>
        <v>0</v>
      </c>
      <c r="L15" s="459">
        <f t="shared" ca="1" si="1"/>
        <v>0</v>
      </c>
      <c r="M15" s="459">
        <f t="shared" si="1"/>
        <v>2754.4746839856175</v>
      </c>
      <c r="N15" s="459">
        <f t="shared" ca="1" si="1"/>
        <v>23368.154665655373</v>
      </c>
      <c r="O15" s="459">
        <f t="shared" si="1"/>
        <v>349.98072137393183</v>
      </c>
      <c r="P15" s="459">
        <f t="shared" si="1"/>
        <v>999.55021014270631</v>
      </c>
      <c r="Q15" s="459">
        <f t="shared" ca="1" si="1"/>
        <v>1110748.252343283</v>
      </c>
    </row>
    <row r="17" spans="1:17">
      <c r="A17" s="461" t="s">
        <v>539</v>
      </c>
      <c r="B17" s="777">
        <f ca="1">huishoudens!B10</f>
        <v>0.20586288055211732</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3292.4117591046256</v>
      </c>
      <c r="C22" s="449">
        <f t="shared" ref="C22:C32" ca="1" si="3">C4*$C$17</f>
        <v>0</v>
      </c>
      <c r="D22" s="449">
        <f t="shared" ref="D22:D32" si="4">D4*$D$17</f>
        <v>6321.2872978123014</v>
      </c>
      <c r="E22" s="449">
        <f t="shared" ref="E22:E32" si="5">E4*$E$17</f>
        <v>213.76212447859311</v>
      </c>
      <c r="F22" s="449">
        <f t="shared" ref="F22:F32" si="6">F4*$F$17</f>
        <v>5710.9387167324267</v>
      </c>
      <c r="G22" s="449">
        <f t="shared" ref="G22:G32" si="7">G4*$G$17</f>
        <v>0</v>
      </c>
      <c r="H22" s="449">
        <f t="shared" ref="H22:H32" si="8">H4*$H$17</f>
        <v>0</v>
      </c>
      <c r="I22" s="449">
        <f t="shared" ref="I22:I32" si="9">I4*$I$17</f>
        <v>0</v>
      </c>
      <c r="J22" s="449">
        <f t="shared" ref="J22:J32" si="10">J4*$J$17</f>
        <v>37.880469851135466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15576.280367979083</v>
      </c>
    </row>
    <row r="23" spans="1:17">
      <c r="A23" s="448" t="s">
        <v>155</v>
      </c>
      <c r="B23" s="449">
        <f t="shared" ca="1" si="2"/>
        <v>2584.5864737504749</v>
      </c>
      <c r="C23" s="449">
        <f t="shared" ca="1" si="3"/>
        <v>0</v>
      </c>
      <c r="D23" s="449">
        <f t="shared" ca="1" si="4"/>
        <v>1789.4966255241811</v>
      </c>
      <c r="E23" s="449">
        <f t="shared" si="5"/>
        <v>11.675418693247035</v>
      </c>
      <c r="F23" s="449">
        <f t="shared" ca="1" si="6"/>
        <v>687.81081220289298</v>
      </c>
      <c r="G23" s="449">
        <f t="shared" si="7"/>
        <v>0</v>
      </c>
      <c r="H23" s="449">
        <f t="shared" si="8"/>
        <v>0</v>
      </c>
      <c r="I23" s="449">
        <f t="shared" si="9"/>
        <v>0</v>
      </c>
      <c r="J23" s="449">
        <f t="shared" si="10"/>
        <v>9.7480188374735217E-3</v>
      </c>
      <c r="K23" s="449">
        <f t="shared" si="11"/>
        <v>0</v>
      </c>
      <c r="L23" s="449">
        <f t="shared" ca="1" si="12"/>
        <v>0</v>
      </c>
      <c r="M23" s="449">
        <f t="shared" si="13"/>
        <v>0</v>
      </c>
      <c r="N23" s="449">
        <f t="shared" ca="1" si="14"/>
        <v>0</v>
      </c>
      <c r="O23" s="449">
        <f t="shared" si="15"/>
        <v>0</v>
      </c>
      <c r="P23" s="450">
        <f t="shared" si="16"/>
        <v>0</v>
      </c>
      <c r="Q23" s="448">
        <f t="shared" ref="Q23:Q31" ca="1" si="17">SUM(B23:P23)</f>
        <v>5073.5790781896339</v>
      </c>
    </row>
    <row r="24" spans="1:17">
      <c r="A24" s="448" t="s">
        <v>193</v>
      </c>
      <c r="B24" s="449">
        <f t="shared" ca="1" si="2"/>
        <v>193.59324700833056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193.59324700833056</v>
      </c>
    </row>
    <row r="25" spans="1:17">
      <c r="A25" s="448" t="s">
        <v>111</v>
      </c>
      <c r="B25" s="449">
        <f t="shared" ca="1" si="2"/>
        <v>235.44444983749611</v>
      </c>
      <c r="C25" s="449">
        <f t="shared" ca="1" si="3"/>
        <v>0</v>
      </c>
      <c r="D25" s="449">
        <f t="shared" si="4"/>
        <v>69.612605970814457</v>
      </c>
      <c r="E25" s="449">
        <f t="shared" si="5"/>
        <v>9.6819820857858065</v>
      </c>
      <c r="F25" s="449">
        <f t="shared" si="6"/>
        <v>990.7275671475744</v>
      </c>
      <c r="G25" s="449">
        <f t="shared" si="7"/>
        <v>0</v>
      </c>
      <c r="H25" s="449">
        <f t="shared" si="8"/>
        <v>0</v>
      </c>
      <c r="I25" s="449">
        <f t="shared" si="9"/>
        <v>0</v>
      </c>
      <c r="J25" s="449">
        <f t="shared" si="10"/>
        <v>106.27990301371607</v>
      </c>
      <c r="K25" s="449">
        <f t="shared" si="11"/>
        <v>0</v>
      </c>
      <c r="L25" s="449">
        <f t="shared" si="12"/>
        <v>0</v>
      </c>
      <c r="M25" s="449">
        <f t="shared" si="13"/>
        <v>0</v>
      </c>
      <c r="N25" s="449">
        <f t="shared" si="14"/>
        <v>0</v>
      </c>
      <c r="O25" s="449">
        <f t="shared" si="15"/>
        <v>0</v>
      </c>
      <c r="P25" s="450">
        <f t="shared" si="16"/>
        <v>0</v>
      </c>
      <c r="Q25" s="448">
        <f t="shared" ca="1" si="17"/>
        <v>1411.7465080553868</v>
      </c>
    </row>
    <row r="26" spans="1:17">
      <c r="A26" s="448" t="s">
        <v>618</v>
      </c>
      <c r="B26" s="449">
        <f t="shared" ca="1" si="2"/>
        <v>77540.630442641035</v>
      </c>
      <c r="C26" s="449">
        <f t="shared" ca="1" si="3"/>
        <v>999.13613445378166</v>
      </c>
      <c r="D26" s="449">
        <f t="shared" si="4"/>
        <v>89857.68114236198</v>
      </c>
      <c r="E26" s="449">
        <f t="shared" si="5"/>
        <v>200.36949507937973</v>
      </c>
      <c r="F26" s="449">
        <f t="shared" si="6"/>
        <v>28746.665303582391</v>
      </c>
      <c r="G26" s="449">
        <f t="shared" si="7"/>
        <v>0</v>
      </c>
      <c r="H26" s="449">
        <f t="shared" si="8"/>
        <v>0</v>
      </c>
      <c r="I26" s="449">
        <f t="shared" si="9"/>
        <v>0</v>
      </c>
      <c r="J26" s="449">
        <f t="shared" si="10"/>
        <v>0.55193136931283948</v>
      </c>
      <c r="K26" s="449">
        <f t="shared" si="11"/>
        <v>0</v>
      </c>
      <c r="L26" s="449">
        <f t="shared" si="12"/>
        <v>0</v>
      </c>
      <c r="M26" s="449">
        <f t="shared" si="13"/>
        <v>0</v>
      </c>
      <c r="N26" s="449">
        <f t="shared" si="14"/>
        <v>0</v>
      </c>
      <c r="O26" s="449">
        <f t="shared" si="15"/>
        <v>0</v>
      </c>
      <c r="P26" s="450">
        <f t="shared" si="16"/>
        <v>0</v>
      </c>
      <c r="Q26" s="448">
        <f t="shared" ca="1" si="17"/>
        <v>197345.0344494879</v>
      </c>
    </row>
    <row r="27" spans="1:17" s="454" customFormat="1">
      <c r="A27" s="452" t="s">
        <v>544</v>
      </c>
      <c r="B27" s="771">
        <f t="shared" ca="1" si="2"/>
        <v>12.367294412145505</v>
      </c>
      <c r="C27" s="453">
        <f t="shared" ca="1" si="3"/>
        <v>0</v>
      </c>
      <c r="D27" s="453">
        <f t="shared" si="4"/>
        <v>23.508654368362951</v>
      </c>
      <c r="E27" s="453">
        <f t="shared" si="5"/>
        <v>14.381364173099058</v>
      </c>
      <c r="F27" s="453">
        <f t="shared" si="6"/>
        <v>0</v>
      </c>
      <c r="G27" s="453">
        <f t="shared" si="7"/>
        <v>10646.507527026573</v>
      </c>
      <c r="H27" s="453">
        <f t="shared" si="8"/>
        <v>1754.8353323808972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12451.600172361077</v>
      </c>
    </row>
    <row r="28" spans="1:17" ht="16.5" customHeight="1">
      <c r="A28" s="448" t="s">
        <v>534</v>
      </c>
      <c r="B28" s="449">
        <f t="shared" ca="1" si="2"/>
        <v>1.0220710198096501</v>
      </c>
      <c r="C28" s="449">
        <f t="shared" ca="1" si="3"/>
        <v>0</v>
      </c>
      <c r="D28" s="449">
        <f t="shared" si="4"/>
        <v>0</v>
      </c>
      <c r="E28" s="449">
        <f t="shared" si="5"/>
        <v>0</v>
      </c>
      <c r="F28" s="449">
        <f t="shared" si="6"/>
        <v>0</v>
      </c>
      <c r="G28" s="449">
        <f t="shared" si="7"/>
        <v>94.61932930765596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95.641400327465604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93.764400736200159</v>
      </c>
      <c r="C32" s="449">
        <f t="shared" ca="1" si="3"/>
        <v>0</v>
      </c>
      <c r="D32" s="449">
        <f t="shared" si="4"/>
        <v>160.72821269191823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254.49261342811837</v>
      </c>
    </row>
    <row r="33" spans="1:17" s="460" customFormat="1">
      <c r="A33" s="458" t="s">
        <v>538</v>
      </c>
      <c r="B33" s="459">
        <f ca="1">SUM(B22:B32)</f>
        <v>83953.820138510113</v>
      </c>
      <c r="C33" s="459">
        <f t="shared" ref="C33:Q33" ca="1" si="19">SUM(C22:C32)</f>
        <v>999.13613445378166</v>
      </c>
      <c r="D33" s="459">
        <f t="shared" ca="1" si="19"/>
        <v>98222.314538729552</v>
      </c>
      <c r="E33" s="459">
        <f t="shared" si="19"/>
        <v>449.87038451010471</v>
      </c>
      <c r="F33" s="459">
        <f t="shared" ca="1" si="19"/>
        <v>36136.142399665288</v>
      </c>
      <c r="G33" s="459">
        <f t="shared" si="19"/>
        <v>10741.126856334229</v>
      </c>
      <c r="H33" s="459">
        <f t="shared" si="19"/>
        <v>1754.8353323808972</v>
      </c>
      <c r="I33" s="459">
        <f t="shared" si="19"/>
        <v>0</v>
      </c>
      <c r="J33" s="459">
        <f t="shared" si="19"/>
        <v>144.72205225300183</v>
      </c>
      <c r="K33" s="459">
        <f t="shared" si="19"/>
        <v>0</v>
      </c>
      <c r="L33" s="459">
        <f t="shared" ca="1" si="19"/>
        <v>0</v>
      </c>
      <c r="M33" s="459">
        <f t="shared" si="19"/>
        <v>0</v>
      </c>
      <c r="N33" s="459">
        <f t="shared" ca="1" si="19"/>
        <v>0</v>
      </c>
      <c r="O33" s="459">
        <f t="shared" si="19"/>
        <v>0</v>
      </c>
      <c r="P33" s="459">
        <f t="shared" si="19"/>
        <v>0</v>
      </c>
      <c r="Q33" s="459">
        <f t="shared" ca="1" si="19"/>
        <v>232401.96783683699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17158.66804079678</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10995.746420411631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2943</v>
      </c>
      <c r="D8" s="1015">
        <f>'SEAP template'!D76</f>
        <v>3462.3529411764707</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699.39529411764715</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28154.414461208413</v>
      </c>
      <c r="C10" s="1017">
        <f>SUM(C4:C9)</f>
        <v>2943</v>
      </c>
      <c r="D10" s="1017">
        <f t="shared" ref="D10:H10" si="0">SUM(D8:D9)</f>
        <v>3462.3529411764707</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699.39529411764715</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0.20586288055211732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4204.2857142857147</v>
      </c>
      <c r="D17" s="1016">
        <f>'SEAP template'!D87</f>
        <v>4946.2184873949582</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999.13613445378166</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4204.2857142857147</v>
      </c>
      <c r="D20" s="1017">
        <f t="shared" ref="D20:H20" si="2">SUM(D17:D19)</f>
        <v>4946.2184873949582</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999.13613445378166</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0.20586288055211732</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0.20586288055211732</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0.20586288055211732</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3853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1042.3800000000001</v>
      </c>
      <c r="C14" s="326"/>
      <c r="D14" s="326"/>
      <c r="E14" s="326"/>
      <c r="F14" s="326"/>
    </row>
    <row r="15" spans="1:6">
      <c r="A15" s="1307" t="s">
        <v>183</v>
      </c>
      <c r="B15" s="1308">
        <v>569</v>
      </c>
      <c r="C15" s="326"/>
      <c r="D15" s="326"/>
      <c r="E15" s="326"/>
      <c r="F15" s="326"/>
    </row>
    <row r="16" spans="1:6">
      <c r="A16" s="1307" t="s">
        <v>6</v>
      </c>
      <c r="B16" s="1308">
        <v>447</v>
      </c>
      <c r="C16" s="326"/>
      <c r="D16" s="326"/>
      <c r="E16" s="326"/>
      <c r="F16" s="326"/>
    </row>
    <row r="17" spans="1:6">
      <c r="A17" s="1307" t="s">
        <v>7</v>
      </c>
      <c r="B17" s="1308">
        <v>444</v>
      </c>
      <c r="C17" s="326"/>
      <c r="D17" s="326"/>
      <c r="E17" s="326"/>
      <c r="F17" s="326"/>
    </row>
    <row r="18" spans="1:6">
      <c r="A18" s="1307" t="s">
        <v>8</v>
      </c>
      <c r="B18" s="1308">
        <v>481</v>
      </c>
      <c r="C18" s="326"/>
      <c r="D18" s="326"/>
      <c r="E18" s="326"/>
      <c r="F18" s="326"/>
    </row>
    <row r="19" spans="1:6">
      <c r="A19" s="1307" t="s">
        <v>9</v>
      </c>
      <c r="B19" s="1308">
        <v>543</v>
      </c>
      <c r="C19" s="326"/>
      <c r="D19" s="326"/>
      <c r="E19" s="326"/>
      <c r="F19" s="326"/>
    </row>
    <row r="20" spans="1:6">
      <c r="A20" s="1307" t="s">
        <v>10</v>
      </c>
      <c r="B20" s="1308">
        <v>306</v>
      </c>
      <c r="C20" s="326"/>
      <c r="D20" s="326"/>
      <c r="E20" s="326"/>
      <c r="F20" s="326"/>
    </row>
    <row r="21" spans="1:6">
      <c r="A21" s="1307" t="s">
        <v>11</v>
      </c>
      <c r="B21" s="1308">
        <v>3313</v>
      </c>
      <c r="C21" s="326"/>
      <c r="D21" s="326"/>
      <c r="E21" s="326"/>
      <c r="F21" s="326"/>
    </row>
    <row r="22" spans="1:6">
      <c r="A22" s="1307" t="s">
        <v>12</v>
      </c>
      <c r="B22" s="1308">
        <v>14925</v>
      </c>
      <c r="C22" s="326"/>
      <c r="D22" s="326"/>
      <c r="E22" s="326"/>
      <c r="F22" s="326"/>
    </row>
    <row r="23" spans="1:6">
      <c r="A23" s="1307" t="s">
        <v>13</v>
      </c>
      <c r="B23" s="1308">
        <v>137</v>
      </c>
      <c r="C23" s="326"/>
      <c r="D23" s="326"/>
      <c r="E23" s="326"/>
      <c r="F23" s="326"/>
    </row>
    <row r="24" spans="1:6">
      <c r="A24" s="1307" t="s">
        <v>14</v>
      </c>
      <c r="B24" s="1308">
        <v>5</v>
      </c>
      <c r="C24" s="326"/>
      <c r="D24" s="326"/>
      <c r="E24" s="326"/>
      <c r="F24" s="326"/>
    </row>
    <row r="25" spans="1:6">
      <c r="A25" s="1307" t="s">
        <v>15</v>
      </c>
      <c r="B25" s="1308">
        <v>883</v>
      </c>
      <c r="C25" s="326"/>
      <c r="D25" s="326"/>
      <c r="E25" s="326"/>
      <c r="F25" s="326"/>
    </row>
    <row r="26" spans="1:6">
      <c r="A26" s="1307" t="s">
        <v>16</v>
      </c>
      <c r="B26" s="1308">
        <v>150</v>
      </c>
      <c r="C26" s="326"/>
      <c r="D26" s="326"/>
      <c r="E26" s="326"/>
      <c r="F26" s="326"/>
    </row>
    <row r="27" spans="1:6">
      <c r="A27" s="1307" t="s">
        <v>17</v>
      </c>
      <c r="B27" s="1308">
        <v>0</v>
      </c>
      <c r="C27" s="326"/>
      <c r="D27" s="326"/>
      <c r="E27" s="326"/>
      <c r="F27" s="326"/>
    </row>
    <row r="28" spans="1:6" s="43" customFormat="1">
      <c r="A28" s="1309" t="s">
        <v>18</v>
      </c>
      <c r="B28" s="1310">
        <v>115909</v>
      </c>
      <c r="C28" s="332"/>
      <c r="D28" s="332"/>
      <c r="E28" s="332"/>
      <c r="F28" s="332"/>
    </row>
    <row r="29" spans="1:6">
      <c r="A29" s="1309" t="s">
        <v>688</v>
      </c>
      <c r="B29" s="1310">
        <v>31</v>
      </c>
      <c r="C29" s="332"/>
      <c r="D29" s="332"/>
      <c r="E29" s="332"/>
      <c r="F29" s="332"/>
    </row>
    <row r="30" spans="1:6">
      <c r="A30" s="1302" t="s">
        <v>689</v>
      </c>
      <c r="B30" s="1311">
        <v>13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3</v>
      </c>
      <c r="F38" s="1308">
        <v>1398559.7764961999</v>
      </c>
    </row>
    <row r="39" spans="1:6">
      <c r="A39" s="1307" t="s">
        <v>29</v>
      </c>
      <c r="B39" s="1307" t="s">
        <v>30</v>
      </c>
      <c r="C39" s="1308">
        <v>2407</v>
      </c>
      <c r="D39" s="1308">
        <v>34655040.392379098</v>
      </c>
      <c r="E39" s="1308">
        <v>3633</v>
      </c>
      <c r="F39" s="1308">
        <v>12894902.7752562</v>
      </c>
    </row>
    <row r="40" spans="1:6">
      <c r="A40" s="1307" t="s">
        <v>29</v>
      </c>
      <c r="B40" s="1307" t="s">
        <v>28</v>
      </c>
      <c r="C40" s="1308">
        <v>0</v>
      </c>
      <c r="D40" s="1308">
        <v>0</v>
      </c>
      <c r="E40" s="1308">
        <v>0</v>
      </c>
      <c r="F40" s="1308">
        <v>0</v>
      </c>
    </row>
    <row r="41" spans="1:6">
      <c r="A41" s="1307" t="s">
        <v>31</v>
      </c>
      <c r="B41" s="1307" t="s">
        <v>32</v>
      </c>
      <c r="C41" s="1308">
        <v>88</v>
      </c>
      <c r="D41" s="1308">
        <v>74047642.230161995</v>
      </c>
      <c r="E41" s="1308">
        <v>190</v>
      </c>
      <c r="F41" s="1308">
        <v>169311297.43529999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7</v>
      </c>
      <c r="D44" s="1308">
        <v>91511.495977864804</v>
      </c>
      <c r="E44" s="1308">
        <v>25</v>
      </c>
      <c r="F44" s="1308">
        <v>1072923.4455719299</v>
      </c>
    </row>
    <row r="45" spans="1:6">
      <c r="A45" s="1307" t="s">
        <v>31</v>
      </c>
      <c r="B45" s="1307" t="s">
        <v>36</v>
      </c>
      <c r="C45" s="1308">
        <v>3</v>
      </c>
      <c r="D45" s="1308">
        <v>177554297.973032</v>
      </c>
      <c r="E45" s="1308">
        <v>8</v>
      </c>
      <c r="F45" s="1308">
        <v>11509418.2612512</v>
      </c>
    </row>
    <row r="46" spans="1:6">
      <c r="A46" s="1307" t="s">
        <v>31</v>
      </c>
      <c r="B46" s="1307" t="s">
        <v>37</v>
      </c>
      <c r="C46" s="1308">
        <v>0</v>
      </c>
      <c r="D46" s="1308">
        <v>0</v>
      </c>
      <c r="E46" s="1308">
        <v>0</v>
      </c>
      <c r="F46" s="1308">
        <v>0</v>
      </c>
    </row>
    <row r="47" spans="1:6">
      <c r="A47" s="1307" t="s">
        <v>31</v>
      </c>
      <c r="B47" s="1307" t="s">
        <v>38</v>
      </c>
      <c r="C47" s="1308">
        <v>3</v>
      </c>
      <c r="D47" s="1308">
        <v>729935.08111099899</v>
      </c>
      <c r="E47" s="1308">
        <v>6</v>
      </c>
      <c r="F47" s="1308">
        <v>1138469.6613968799</v>
      </c>
    </row>
    <row r="48" spans="1:6">
      <c r="A48" s="1307" t="s">
        <v>31</v>
      </c>
      <c r="B48" s="1307" t="s">
        <v>28</v>
      </c>
      <c r="C48" s="1308">
        <v>2</v>
      </c>
      <c r="D48" s="1308">
        <v>248518.07165852201</v>
      </c>
      <c r="E48" s="1308">
        <v>3</v>
      </c>
      <c r="F48" s="1308">
        <v>282391.85099640401</v>
      </c>
    </row>
    <row r="49" spans="1:6">
      <c r="A49" s="1307" t="s">
        <v>31</v>
      </c>
      <c r="B49" s="1307" t="s">
        <v>39</v>
      </c>
      <c r="C49" s="1308">
        <v>15</v>
      </c>
      <c r="D49" s="1308">
        <v>149809476.796817</v>
      </c>
      <c r="E49" s="1308">
        <v>31</v>
      </c>
      <c r="F49" s="1308">
        <v>117611753.525581</v>
      </c>
    </row>
    <row r="50" spans="1:6">
      <c r="A50" s="1307" t="s">
        <v>31</v>
      </c>
      <c r="B50" s="1307" t="s">
        <v>40</v>
      </c>
      <c r="C50" s="1308">
        <v>15</v>
      </c>
      <c r="D50" s="1308">
        <v>99455027.081948906</v>
      </c>
      <c r="E50" s="1308">
        <v>20</v>
      </c>
      <c r="F50" s="1308">
        <v>72792289.827640504</v>
      </c>
    </row>
    <row r="51" spans="1:6">
      <c r="A51" s="1307" t="s">
        <v>41</v>
      </c>
      <c r="B51" s="1307" t="s">
        <v>42</v>
      </c>
      <c r="C51" s="1308">
        <v>6</v>
      </c>
      <c r="D51" s="1308">
        <v>381635.50525100302</v>
      </c>
      <c r="E51" s="1308">
        <v>55</v>
      </c>
      <c r="F51" s="1308">
        <v>1143695.4987030299</v>
      </c>
    </row>
    <row r="52" spans="1:6">
      <c r="A52" s="1307" t="s">
        <v>41</v>
      </c>
      <c r="B52" s="1307" t="s">
        <v>28</v>
      </c>
      <c r="C52" s="1308">
        <v>0</v>
      </c>
      <c r="D52" s="1308">
        <v>0</v>
      </c>
      <c r="E52" s="1308">
        <v>0</v>
      </c>
      <c r="F52" s="1308">
        <v>0</v>
      </c>
    </row>
    <row r="53" spans="1:6">
      <c r="A53" s="1307" t="s">
        <v>43</v>
      </c>
      <c r="B53" s="1307" t="s">
        <v>44</v>
      </c>
      <c r="C53" s="1308">
        <v>55</v>
      </c>
      <c r="D53" s="1308">
        <v>795684.22124711995</v>
      </c>
      <c r="E53" s="1308">
        <v>128</v>
      </c>
      <c r="F53" s="1308">
        <v>455470.167738483</v>
      </c>
    </row>
    <row r="54" spans="1:6">
      <c r="A54" s="1307" t="s">
        <v>45</v>
      </c>
      <c r="B54" s="1307" t="s">
        <v>46</v>
      </c>
      <c r="C54" s="1308">
        <v>0</v>
      </c>
      <c r="D54" s="1308">
        <v>0</v>
      </c>
      <c r="E54" s="1308">
        <v>1</v>
      </c>
      <c r="F54" s="1308">
        <v>940399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36</v>
      </c>
      <c r="D57" s="1308">
        <v>2430302.34148722</v>
      </c>
      <c r="E57" s="1308">
        <v>69</v>
      </c>
      <c r="F57" s="1308">
        <v>2788302.7514060298</v>
      </c>
    </row>
    <row r="58" spans="1:6">
      <c r="A58" s="1307" t="s">
        <v>48</v>
      </c>
      <c r="B58" s="1307" t="s">
        <v>50</v>
      </c>
      <c r="C58" s="1308">
        <v>16</v>
      </c>
      <c r="D58" s="1308">
        <v>338801.31495857798</v>
      </c>
      <c r="E58" s="1308">
        <v>23</v>
      </c>
      <c r="F58" s="1308">
        <v>121944.179191234</v>
      </c>
    </row>
    <row r="59" spans="1:6">
      <c r="A59" s="1307" t="s">
        <v>48</v>
      </c>
      <c r="B59" s="1307" t="s">
        <v>51</v>
      </c>
      <c r="C59" s="1308">
        <v>57</v>
      </c>
      <c r="D59" s="1308">
        <v>2366491.69378989</v>
      </c>
      <c r="E59" s="1308">
        <v>150</v>
      </c>
      <c r="F59" s="1308">
        <v>2847632.0056906501</v>
      </c>
    </row>
    <row r="60" spans="1:6">
      <c r="A60" s="1307" t="s">
        <v>48</v>
      </c>
      <c r="B60" s="1307" t="s">
        <v>52</v>
      </c>
      <c r="C60" s="1308">
        <v>18</v>
      </c>
      <c r="D60" s="1308">
        <v>756790.00503882102</v>
      </c>
      <c r="E60" s="1308">
        <v>26</v>
      </c>
      <c r="F60" s="1308">
        <v>475922.54331325198</v>
      </c>
    </row>
    <row r="61" spans="1:6">
      <c r="A61" s="1307" t="s">
        <v>48</v>
      </c>
      <c r="B61" s="1307" t="s">
        <v>53</v>
      </c>
      <c r="C61" s="1308">
        <v>106</v>
      </c>
      <c r="D61" s="1308">
        <v>3104051.87099881</v>
      </c>
      <c r="E61" s="1308">
        <v>212</v>
      </c>
      <c r="F61" s="1308">
        <v>6223665.9753189897</v>
      </c>
    </row>
    <row r="62" spans="1:6">
      <c r="A62" s="1307" t="s">
        <v>48</v>
      </c>
      <c r="B62" s="1307" t="s">
        <v>54</v>
      </c>
      <c r="C62" s="1308">
        <v>8</v>
      </c>
      <c r="D62" s="1308">
        <v>814076.82219099195</v>
      </c>
      <c r="E62" s="1308">
        <v>8</v>
      </c>
      <c r="F62" s="1308">
        <v>97425.718723876998</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4</v>
      </c>
      <c r="F66" s="1308">
        <v>72727.072655850396</v>
      </c>
    </row>
    <row r="67" spans="1:6">
      <c r="A67" s="1309" t="s">
        <v>55</v>
      </c>
      <c r="B67" s="1309" t="s">
        <v>58</v>
      </c>
      <c r="C67" s="1308">
        <v>0</v>
      </c>
      <c r="D67" s="1308">
        <v>0</v>
      </c>
      <c r="E67" s="1308">
        <v>0</v>
      </c>
      <c r="F67" s="1308">
        <v>0</v>
      </c>
    </row>
    <row r="68" spans="1:6">
      <c r="A68" s="1302" t="s">
        <v>55</v>
      </c>
      <c r="B68" s="1302" t="s">
        <v>59</v>
      </c>
      <c r="C68" s="1311">
        <v>8</v>
      </c>
      <c r="D68" s="1311">
        <v>104109.785599533</v>
      </c>
      <c r="E68" s="1311">
        <v>24</v>
      </c>
      <c r="F68" s="1311">
        <v>152568.505822579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24241343</v>
      </c>
      <c r="E73" s="447"/>
      <c r="F73" s="326"/>
    </row>
    <row r="74" spans="1:6">
      <c r="A74" s="1307" t="s">
        <v>63</v>
      </c>
      <c r="B74" s="1307" t="s">
        <v>639</v>
      </c>
      <c r="C74" s="1321" t="s">
        <v>641</v>
      </c>
      <c r="D74" s="1322">
        <v>5277800.5401790868</v>
      </c>
      <c r="E74" s="447"/>
      <c r="F74" s="326"/>
    </row>
    <row r="75" spans="1:6">
      <c r="A75" s="1307" t="s">
        <v>64</v>
      </c>
      <c r="B75" s="1307" t="s">
        <v>638</v>
      </c>
      <c r="C75" s="1321" t="s">
        <v>642</v>
      </c>
      <c r="D75" s="1322">
        <v>14149180</v>
      </c>
      <c r="E75" s="447"/>
      <c r="F75" s="326"/>
    </row>
    <row r="76" spans="1:6">
      <c r="A76" s="1307" t="s">
        <v>64</v>
      </c>
      <c r="B76" s="1307" t="s">
        <v>639</v>
      </c>
      <c r="C76" s="1321" t="s">
        <v>643</v>
      </c>
      <c r="D76" s="1322">
        <v>2197260.5401790868</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104940.919641826</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17158.66804079678</v>
      </c>
      <c r="C90" s="326"/>
      <c r="D90" s="326"/>
      <c r="E90" s="326"/>
      <c r="F90" s="326"/>
    </row>
    <row r="91" spans="1:6">
      <c r="A91" s="1307" t="s">
        <v>67</v>
      </c>
      <c r="B91" s="1308">
        <v>3098.3241254579461</v>
      </c>
      <c r="C91" s="326"/>
      <c r="D91" s="326"/>
      <c r="E91" s="326"/>
      <c r="F91" s="326"/>
    </row>
    <row r="92" spans="1:6">
      <c r="A92" s="1302" t="s">
        <v>68</v>
      </c>
      <c r="B92" s="1303">
        <v>7897.4222949536852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1190</v>
      </c>
      <c r="C97" s="326"/>
      <c r="D97" s="326"/>
      <c r="E97" s="326"/>
      <c r="F97" s="326"/>
    </row>
    <row r="98" spans="1:6">
      <c r="A98" s="1307" t="s">
        <v>71</v>
      </c>
      <c r="B98" s="1308">
        <v>0</v>
      </c>
      <c r="C98" s="326"/>
      <c r="D98" s="326"/>
      <c r="E98" s="326"/>
      <c r="F98" s="326"/>
    </row>
    <row r="99" spans="1:6">
      <c r="A99" s="1307" t="s">
        <v>72</v>
      </c>
      <c r="B99" s="1308">
        <v>52</v>
      </c>
      <c r="C99" s="326"/>
      <c r="D99" s="326"/>
      <c r="E99" s="326"/>
      <c r="F99" s="326"/>
    </row>
    <row r="100" spans="1:6">
      <c r="A100" s="1307" t="s">
        <v>73</v>
      </c>
      <c r="B100" s="1308">
        <v>255</v>
      </c>
      <c r="C100" s="326"/>
      <c r="D100" s="326"/>
      <c r="E100" s="326"/>
      <c r="F100" s="326"/>
    </row>
    <row r="101" spans="1:6">
      <c r="A101" s="1307" t="s">
        <v>74</v>
      </c>
      <c r="B101" s="1308">
        <v>72</v>
      </c>
      <c r="C101" s="326"/>
      <c r="D101" s="326"/>
      <c r="E101" s="326"/>
      <c r="F101" s="326"/>
    </row>
    <row r="102" spans="1:6">
      <c r="A102" s="1307" t="s">
        <v>75</v>
      </c>
      <c r="B102" s="1308">
        <v>71</v>
      </c>
      <c r="C102" s="326"/>
      <c r="D102" s="326"/>
      <c r="E102" s="326"/>
      <c r="F102" s="326"/>
    </row>
    <row r="103" spans="1:6">
      <c r="A103" s="1307" t="s">
        <v>76</v>
      </c>
      <c r="B103" s="1308">
        <v>104</v>
      </c>
      <c r="C103" s="326"/>
      <c r="D103" s="326"/>
      <c r="E103" s="326"/>
      <c r="F103" s="326"/>
    </row>
    <row r="104" spans="1:6">
      <c r="A104" s="1307" t="s">
        <v>77</v>
      </c>
      <c r="B104" s="1308">
        <v>1539</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35</v>
      </c>
      <c r="C123" s="1308">
        <v>21</v>
      </c>
      <c r="D123" s="326"/>
      <c r="E123" s="326"/>
      <c r="F123" s="326"/>
    </row>
    <row r="124" spans="1:6" s="43" customFormat="1">
      <c r="A124" s="1309" t="s">
        <v>88</v>
      </c>
      <c r="B124" s="1330">
        <v>2</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146</v>
      </c>
      <c r="C129" s="326"/>
      <c r="D129" s="326"/>
      <c r="E129" s="326"/>
      <c r="F129" s="326"/>
    </row>
    <row r="130" spans="1:6">
      <c r="A130" s="1307" t="s">
        <v>290</v>
      </c>
      <c r="B130" s="1308">
        <v>3</v>
      </c>
      <c r="C130" s="326"/>
      <c r="D130" s="326"/>
      <c r="E130" s="326"/>
      <c r="F130" s="326"/>
    </row>
    <row r="131" spans="1:6">
      <c r="A131" s="1307" t="s">
        <v>291</v>
      </c>
      <c r="B131" s="1308">
        <v>8</v>
      </c>
      <c r="C131" s="326"/>
      <c r="D131" s="326"/>
      <c r="E131" s="326"/>
      <c r="F131" s="326"/>
    </row>
    <row r="132" spans="1:6">
      <c r="A132" s="1302" t="s">
        <v>292</v>
      </c>
      <c r="B132" s="1303">
        <v>13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407814.26896072179</v>
      </c>
      <c r="C3" s="43" t="s">
        <v>169</v>
      </c>
      <c r="D3" s="43"/>
      <c r="E3" s="154"/>
      <c r="F3" s="43"/>
      <c r="G3" s="43"/>
      <c r="H3" s="43"/>
      <c r="I3" s="43"/>
      <c r="J3" s="43"/>
      <c r="K3" s="96"/>
    </row>
    <row r="4" spans="1:11">
      <c r="A4" s="354" t="s">
        <v>170</v>
      </c>
      <c r="B4" s="49">
        <f>IF(ISERROR('SEAP template'!B78+'SEAP template'!C78),0,'SEAP template'!B78+'SEAP template'!C78)</f>
        <v>31097.414461208413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699.39529411764715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0.20586288055211732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999.13613445378166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4204.2857142857147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940.399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940.399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0.20586288055211732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193.59324700833056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12894.9027752562</v>
      </c>
      <c r="C5" s="17">
        <f>IF(ISERROR('Eigen informatie GS &amp; warmtenet'!B59),0,'Eigen informatie GS &amp; warmtenet'!B59)</f>
        <v>0</v>
      </c>
      <c r="D5" s="30">
        <f>(SUM(HH_hh_gas_kWh,HH_rest_gas_kWh)/1000)*0.903</f>
        <v>31293.501474318324</v>
      </c>
      <c r="E5" s="17">
        <f>B32*B41</f>
        <v>941.68336774710622</v>
      </c>
      <c r="F5" s="17">
        <f>B36*B45</f>
        <v>21389.283583267515</v>
      </c>
      <c r="G5" s="18"/>
      <c r="H5" s="17"/>
      <c r="I5" s="17"/>
      <c r="J5" s="17">
        <f>B35*B44+C35*C44</f>
        <v>107.00697698060867</v>
      </c>
      <c r="K5" s="17"/>
      <c r="L5" s="17"/>
      <c r="M5" s="17"/>
      <c r="N5" s="17">
        <f>B34*B43+C34*C43</f>
        <v>5256.8253122248443</v>
      </c>
      <c r="O5" s="17">
        <f>B52*B53*B54</f>
        <v>335.28893907640838</v>
      </c>
      <c r="P5" s="17">
        <f>B60*B61*B62/1000-B60*B61*B62/1000/B63</f>
        <v>526.69796538425112</v>
      </c>
    </row>
    <row r="6" spans="1:16">
      <c r="A6" s="16" t="s">
        <v>604</v>
      </c>
      <c r="B6" s="779">
        <f>kWh_PV_kleiner_dan_10kW</f>
        <v>3098.3241254579461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15993.226900714146</v>
      </c>
      <c r="C8" s="21">
        <f>C5</f>
        <v>0</v>
      </c>
      <c r="D8" s="21">
        <f>D5</f>
        <v>31293.501474318324</v>
      </c>
      <c r="E8" s="21">
        <f>E5</f>
        <v>941.68336774710622</v>
      </c>
      <c r="F8" s="21">
        <f>F5</f>
        <v>21389.283583267515</v>
      </c>
      <c r="G8" s="21"/>
      <c r="H8" s="21"/>
      <c r="I8" s="21"/>
      <c r="J8" s="21">
        <f>J5</f>
        <v>107.00697698060867</v>
      </c>
      <c r="K8" s="21"/>
      <c r="L8" s="21">
        <f>L5</f>
        <v>0</v>
      </c>
      <c r="M8" s="21">
        <f>M5</f>
        <v>0</v>
      </c>
      <c r="N8" s="21">
        <f>N5</f>
        <v>5256.8253122248443</v>
      </c>
      <c r="O8" s="21">
        <f>O5</f>
        <v>335.28893907640838</v>
      </c>
      <c r="P8" s="21">
        <f>P5</f>
        <v>526.69796538425112</v>
      </c>
    </row>
    <row r="9" spans="1:16">
      <c r="B9" s="19"/>
      <c r="C9" s="19"/>
      <c r="D9" s="254"/>
      <c r="E9" s="19"/>
      <c r="F9" s="19"/>
      <c r="G9" s="19"/>
      <c r="H9" s="19"/>
      <c r="I9" s="19"/>
      <c r="J9" s="19"/>
      <c r="K9" s="19"/>
      <c r="L9" s="19"/>
      <c r="M9" s="19"/>
      <c r="N9" s="19"/>
      <c r="O9" s="19"/>
      <c r="P9" s="19"/>
    </row>
    <row r="10" spans="1:16">
      <c r="A10" s="24" t="s">
        <v>213</v>
      </c>
      <c r="B10" s="25">
        <f ca="1">'EF ele_warmte'!B12</f>
        <v>0.20586288055211732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3292.4117591046256</v>
      </c>
      <c r="C12" s="23">
        <f ca="1">C10*C8</f>
        <v>0</v>
      </c>
      <c r="D12" s="23">
        <f>D8*D10</f>
        <v>6321.2872978123014</v>
      </c>
      <c r="E12" s="23">
        <f>E10*E8</f>
        <v>213.76212447859311</v>
      </c>
      <c r="F12" s="23">
        <f>F10*F8</f>
        <v>5710.9387167324267</v>
      </c>
      <c r="G12" s="23"/>
      <c r="H12" s="23"/>
      <c r="I12" s="23"/>
      <c r="J12" s="23">
        <f>J10*J8</f>
        <v>37.880469851135466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3853</v>
      </c>
      <c r="C26" s="36"/>
      <c r="D26" s="225"/>
    </row>
    <row r="27" spans="1:5" s="15" customFormat="1">
      <c r="A27" s="227" t="s">
        <v>817</v>
      </c>
      <c r="B27" s="37">
        <f>SUM(HH_hh_gas_aantal,HH_rest_gas_aantal)</f>
        <v>2407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2286.65</v>
      </c>
      <c r="C31" s="34" t="s">
        <v>110</v>
      </c>
      <c r="D31" s="171"/>
    </row>
    <row r="32" spans="1:5">
      <c r="A32" s="168" t="s">
        <v>72</v>
      </c>
      <c r="B32" s="33">
        <f>IF((B21*($B$26-($B$27-0.05*$B$27)-$B$60))&lt;0,0,B21*($B$26-($B$27-0.05*$B$27)-$B$60))</f>
        <v>23.338687244611211</v>
      </c>
      <c r="C32" s="34" t="s">
        <v>110</v>
      </c>
      <c r="D32" s="171"/>
    </row>
    <row r="33" spans="1:6">
      <c r="A33" s="168" t="s">
        <v>73</v>
      </c>
      <c r="B33" s="33">
        <f>IF((B22*($B$26-($B$27-0.05*$B$27)-$B$60))&lt;0,0,B22*($B$26-($B$27-0.05*$B$27)-$B$60))</f>
        <v>378.97405807506209</v>
      </c>
      <c r="C33" s="34" t="s">
        <v>110</v>
      </c>
      <c r="D33" s="171"/>
    </row>
    <row r="34" spans="1:6">
      <c r="A34" s="168" t="s">
        <v>74</v>
      </c>
      <c r="B34" s="33">
        <f>IF((B24*($B$26-($B$27-0.05*$B$27)-$B$60))&lt;0,0,B24*($B$26-($B$27-0.05*$B$27)-$B$60))</f>
        <v>72.591786040344701</v>
      </c>
      <c r="C34" s="33">
        <f>B26*C24</f>
        <v>788.99383720752655</v>
      </c>
      <c r="D34" s="230"/>
    </row>
    <row r="35" spans="1:6">
      <c r="A35" s="168" t="s">
        <v>76</v>
      </c>
      <c r="B35" s="33">
        <f>IF((B19*($B$26-($B$27-0.05*$B$27)-$B$60))&lt;0,0,B19*($B$26-($B$27-0.05*$B$27)-$B$60))</f>
        <v>10.145271704279132</v>
      </c>
      <c r="C35" s="33">
        <f>B35/2</f>
        <v>5.072635852139566</v>
      </c>
      <c r="D35" s="230"/>
    </row>
    <row r="36" spans="1:6">
      <c r="A36" s="168" t="s">
        <v>77</v>
      </c>
      <c r="B36" s="33">
        <f>IF((B18*($B$26-($B$27-0.05*$B$27)-$B$60))&lt;0,0,B18*($B$26-($B$27-0.05*$B$27)-$B$60))</f>
        <v>1031.3001969357024</v>
      </c>
      <c r="C36" s="34" t="s">
        <v>110</v>
      </c>
      <c r="D36" s="171"/>
    </row>
    <row r="37" spans="1:6">
      <c r="A37" s="168" t="s">
        <v>78</v>
      </c>
      <c r="B37" s="33">
        <f>B60</f>
        <v>50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12554.893173644034</v>
      </c>
      <c r="C5" s="17">
        <f>IF(ISERROR('Eigen informatie GS &amp; warmtenet'!B60),0,'Eigen informatie GS &amp; warmtenet'!B60)</f>
        <v>0</v>
      </c>
      <c r="D5" s="30">
        <f>SUM(D6:D12)</f>
        <v>8858.8941857632726</v>
      </c>
      <c r="E5" s="17">
        <f>SUM(E6:E12)</f>
        <v>51.433562525317335</v>
      </c>
      <c r="F5" s="17">
        <f>SUM(F6:F12)</f>
        <v>2576.0704576887374</v>
      </c>
      <c r="G5" s="18"/>
      <c r="H5" s="17"/>
      <c r="I5" s="17"/>
      <c r="J5" s="17">
        <f>SUM(J6:J12)</f>
        <v>2.7536776377043846E-2</v>
      </c>
      <c r="K5" s="17"/>
      <c r="L5" s="17"/>
      <c r="M5" s="17"/>
      <c r="N5" s="17">
        <f>SUM(N6:N12)</f>
        <v>1000.6766898453413</v>
      </c>
      <c r="O5" s="17">
        <f>B38*B39*B40</f>
        <v>14.691782297523464</v>
      </c>
      <c r="P5" s="17">
        <f>B46*B47*B48/1000-B46*B47*B48/1000/B49</f>
        <v>472.85224475845519</v>
      </c>
      <c r="R5" s="32"/>
    </row>
    <row r="6" spans="1:18">
      <c r="A6" s="32" t="s">
        <v>53</v>
      </c>
      <c r="B6" s="37">
        <f>B26</f>
        <v>6223.6659753189897</v>
      </c>
      <c r="C6" s="33"/>
      <c r="D6" s="37">
        <f>IF(ISERROR(TER_kantoor_gas_kWh/1000),0,TER_kantoor_gas_kWh/1000)*0.903</f>
        <v>2802.9588395119254</v>
      </c>
      <c r="E6" s="33">
        <f>$C$26*'E Balans VL '!I12/100/3.6*1000000</f>
        <v>1.4910424335171868</v>
      </c>
      <c r="F6" s="33">
        <f>$C$26*('E Balans VL '!L12+'E Balans VL '!N12)/100/3.6*1000000</f>
        <v>590.18293454853358</v>
      </c>
      <c r="G6" s="34"/>
      <c r="H6" s="33"/>
      <c r="I6" s="33"/>
      <c r="J6" s="33">
        <f>$C$26*('E Balans VL '!D12+'E Balans VL '!E12)/100/3.6*1000000</f>
        <v>0</v>
      </c>
      <c r="K6" s="33"/>
      <c r="L6" s="33"/>
      <c r="M6" s="33"/>
      <c r="N6" s="33">
        <f>$C$26*'E Balans VL '!Y12/100/3.6*1000000</f>
        <v>3.1613004044562198</v>
      </c>
      <c r="O6" s="33"/>
      <c r="P6" s="33"/>
      <c r="R6" s="32"/>
    </row>
    <row r="7" spans="1:18">
      <c r="A7" s="32" t="s">
        <v>52</v>
      </c>
      <c r="B7" s="37">
        <f t="shared" ref="B7:B12" si="0">B27</f>
        <v>475.92254331325199</v>
      </c>
      <c r="C7" s="33"/>
      <c r="D7" s="37">
        <f>IF(ISERROR(TER_horeca_gas_kWh/1000),0,TER_horeca_gas_kWh/1000)*0.903</f>
        <v>683.3813745500554</v>
      </c>
      <c r="E7" s="33">
        <f>$C$27*'E Balans VL '!I9/100/3.6*1000000</f>
        <v>0</v>
      </c>
      <c r="F7" s="33">
        <f>$C$27*('E Balans VL '!L9+'E Balans VL '!N9)/100/3.6*1000000</f>
        <v>39.024529805657259</v>
      </c>
      <c r="G7" s="34"/>
      <c r="H7" s="33"/>
      <c r="I7" s="33"/>
      <c r="J7" s="33">
        <f>$C$27*('E Balans VL '!D9+'E Balans VL '!E9)/100/3.6*1000000</f>
        <v>0</v>
      </c>
      <c r="K7" s="33"/>
      <c r="L7" s="33"/>
      <c r="M7" s="33"/>
      <c r="N7" s="33">
        <f>$C$27*'E Balans VL '!Y9/100/3.6*1000000</f>
        <v>0.14588938069107663</v>
      </c>
      <c r="O7" s="33"/>
      <c r="P7" s="33"/>
      <c r="R7" s="32"/>
    </row>
    <row r="8" spans="1:18">
      <c r="A8" s="6" t="s">
        <v>51</v>
      </c>
      <c r="B8" s="37">
        <f t="shared" si="0"/>
        <v>2847.6320056906502</v>
      </c>
      <c r="C8" s="33"/>
      <c r="D8" s="37">
        <f>IF(ISERROR(TER_handel_gas_kWh/1000),0,TER_handel_gas_kWh/1000)*0.903</f>
        <v>2136.941999492271</v>
      </c>
      <c r="E8" s="33">
        <f>$C$28*'E Balans VL '!I13/100/3.6*1000000</f>
        <v>10.007870117895591</v>
      </c>
      <c r="F8" s="33">
        <f>$C$28*('E Balans VL '!L13+'E Balans VL '!N13)/100/3.6*1000000</f>
        <v>260.55321465087121</v>
      </c>
      <c r="G8" s="34"/>
      <c r="H8" s="33"/>
      <c r="I8" s="33"/>
      <c r="J8" s="33">
        <f>$C$28*('E Balans VL '!D13+'E Balans VL '!E13)/100/3.6*1000000</f>
        <v>0</v>
      </c>
      <c r="K8" s="33"/>
      <c r="L8" s="33"/>
      <c r="M8" s="33"/>
      <c r="N8" s="33">
        <f>$C$28*'E Balans VL '!Y13/100/3.6*1000000</f>
        <v>1.03128971731523</v>
      </c>
      <c r="O8" s="33"/>
      <c r="P8" s="33"/>
      <c r="R8" s="32"/>
    </row>
    <row r="9" spans="1:18">
      <c r="A9" s="32" t="s">
        <v>50</v>
      </c>
      <c r="B9" s="37">
        <f t="shared" si="0"/>
        <v>121.944179191234</v>
      </c>
      <c r="C9" s="33"/>
      <c r="D9" s="37">
        <f>IF(ISERROR(TER_gezond_gas_kWh/1000),0,TER_gezond_gas_kWh/1000)*0.903</f>
        <v>305.93758740759591</v>
      </c>
      <c r="E9" s="33">
        <f>$C$29*'E Balans VL '!I10/100/3.6*1000000</f>
        <v>0</v>
      </c>
      <c r="F9" s="33">
        <f>$C$29*('E Balans VL '!L10+'E Balans VL '!N10)/100/3.6*1000000</f>
        <v>14.948117114189783</v>
      </c>
      <c r="G9" s="34"/>
      <c r="H9" s="33"/>
      <c r="I9" s="33"/>
      <c r="J9" s="33">
        <f>$C$29*('E Balans VL '!D10+'E Balans VL '!E10)/100/3.6*1000000</f>
        <v>0</v>
      </c>
      <c r="K9" s="33"/>
      <c r="L9" s="33"/>
      <c r="M9" s="33"/>
      <c r="N9" s="33">
        <f>$C$29*'E Balans VL '!Y10/100/3.6*1000000</f>
        <v>0.89925334414444136</v>
      </c>
      <c r="O9" s="33"/>
      <c r="P9" s="33"/>
      <c r="R9" s="32"/>
    </row>
    <row r="10" spans="1:18">
      <c r="A10" s="32" t="s">
        <v>49</v>
      </c>
      <c r="B10" s="37">
        <f t="shared" si="0"/>
        <v>2788.30275140603</v>
      </c>
      <c r="C10" s="33"/>
      <c r="D10" s="37">
        <f>IF(ISERROR(TER_ander_gas_kWh/1000),0,TER_ander_gas_kWh/1000)*0.903</f>
        <v>2194.5630143629596</v>
      </c>
      <c r="E10" s="33">
        <f>$C$30*'E Balans VL '!I14/100/3.6*1000000</f>
        <v>39.934649973904556</v>
      </c>
      <c r="F10" s="33">
        <f>$C$30*('E Balans VL '!L14+'E Balans VL '!N14)/100/3.6*1000000</f>
        <v>1659.9714348649898</v>
      </c>
      <c r="G10" s="34"/>
      <c r="H10" s="33"/>
      <c r="I10" s="33"/>
      <c r="J10" s="33">
        <f>$C$30*('E Balans VL '!D14+'E Balans VL '!E14)/100/3.6*1000000</f>
        <v>2.7536776377043846E-2</v>
      </c>
      <c r="K10" s="33"/>
      <c r="L10" s="33"/>
      <c r="M10" s="33"/>
      <c r="N10" s="33">
        <f>$C$30*'E Balans VL '!Y14/100/3.6*1000000</f>
        <v>995.16461736232179</v>
      </c>
      <c r="O10" s="33"/>
      <c r="P10" s="33"/>
      <c r="R10" s="32"/>
    </row>
    <row r="11" spans="1:18">
      <c r="A11" s="32" t="s">
        <v>54</v>
      </c>
      <c r="B11" s="37">
        <f t="shared" si="0"/>
        <v>97.425718723876997</v>
      </c>
      <c r="C11" s="33"/>
      <c r="D11" s="37">
        <f>IF(ISERROR(TER_onderwijs_gas_kWh/1000),0,TER_onderwijs_gas_kWh/1000)*0.903</f>
        <v>735.11137043846577</v>
      </c>
      <c r="E11" s="33">
        <f>$C$31*'E Balans VL '!I11/100/3.6*1000000</f>
        <v>0</v>
      </c>
      <c r="F11" s="33">
        <f>$C$31*('E Balans VL '!L11+'E Balans VL '!N11)/100/3.6*1000000</f>
        <v>11.390226704495985</v>
      </c>
      <c r="G11" s="34"/>
      <c r="H11" s="33"/>
      <c r="I11" s="33"/>
      <c r="J11" s="33">
        <f>$C$31*('E Balans VL '!D11+'E Balans VL '!E11)/100/3.6*1000000</f>
        <v>0</v>
      </c>
      <c r="K11" s="33"/>
      <c r="L11" s="33"/>
      <c r="M11" s="33"/>
      <c r="N11" s="33">
        <f>$C$31*'E Balans VL '!Y11/100/3.6*1000000</f>
        <v>0.27433963641256109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12554.893173644034</v>
      </c>
      <c r="C16" s="21">
        <f t="shared" ca="1" si="1"/>
        <v>0</v>
      </c>
      <c r="D16" s="21">
        <f t="shared" ca="1" si="1"/>
        <v>8858.8941857632726</v>
      </c>
      <c r="E16" s="21">
        <f t="shared" si="1"/>
        <v>51.433562525317335</v>
      </c>
      <c r="F16" s="21">
        <f t="shared" ca="1" si="1"/>
        <v>2576.0704576887374</v>
      </c>
      <c r="G16" s="21">
        <f t="shared" si="1"/>
        <v>0</v>
      </c>
      <c r="H16" s="21">
        <f t="shared" si="1"/>
        <v>0</v>
      </c>
      <c r="I16" s="21">
        <f t="shared" si="1"/>
        <v>0</v>
      </c>
      <c r="J16" s="21">
        <f t="shared" si="1"/>
        <v>2.7536776377043846E-2</v>
      </c>
      <c r="K16" s="21">
        <f t="shared" si="1"/>
        <v>0</v>
      </c>
      <c r="L16" s="21">
        <f t="shared" ca="1" si="1"/>
        <v>0</v>
      </c>
      <c r="M16" s="21">
        <f t="shared" si="1"/>
        <v>0</v>
      </c>
      <c r="N16" s="21">
        <f t="shared" ca="1" si="1"/>
        <v>1000.6766898453413</v>
      </c>
      <c r="O16" s="21">
        <f>O5</f>
        <v>14.691782297523464</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0.20586288055211732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2584.5864737504749</v>
      </c>
      <c r="C20" s="23">
        <f t="shared" ref="C20:P20" ca="1" si="2">C16*C18</f>
        <v>0</v>
      </c>
      <c r="D20" s="23">
        <f t="shared" ca="1" si="2"/>
        <v>1789.4966255241811</v>
      </c>
      <c r="E20" s="23">
        <f t="shared" si="2"/>
        <v>11.675418693247035</v>
      </c>
      <c r="F20" s="23">
        <f t="shared" ca="1" si="2"/>
        <v>687.81081220289298</v>
      </c>
      <c r="G20" s="23">
        <f t="shared" si="2"/>
        <v>0</v>
      </c>
      <c r="H20" s="23">
        <f t="shared" si="2"/>
        <v>0</v>
      </c>
      <c r="I20" s="23">
        <f t="shared" si="2"/>
        <v>0</v>
      </c>
      <c r="J20" s="23">
        <f t="shared" si="2"/>
        <v>9.7480188374735217E-3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6223.6659753189897</v>
      </c>
      <c r="C26" s="39">
        <f>IF(ISERROR(B26*3.6/1000000/'E Balans VL '!Z12*100),0,B26*3.6/1000000/'E Balans VL '!Z12*100)</f>
        <v>0.17552386160593927</v>
      </c>
      <c r="D26" s="233" t="s">
        <v>691</v>
      </c>
      <c r="F26" s="6"/>
    </row>
    <row r="27" spans="1:18">
      <c r="A27" s="228" t="s">
        <v>52</v>
      </c>
      <c r="B27" s="33">
        <f>IF(ISERROR(TER_horeca_ele_kWh/1000),0,TER_horeca_ele_kWh/1000)</f>
        <v>475.92254331325199</v>
      </c>
      <c r="C27" s="39">
        <f>IF(ISERROR(B27*3.6/1000000/'E Balans VL '!Z9*100),0,B27*3.6/1000000/'E Balans VL '!Z9*100)</f>
        <v>3.5283810031846406E-2</v>
      </c>
      <c r="D27" s="233" t="s">
        <v>691</v>
      </c>
      <c r="F27" s="6"/>
    </row>
    <row r="28" spans="1:18">
      <c r="A28" s="168" t="s">
        <v>51</v>
      </c>
      <c r="B28" s="33">
        <f>IF(ISERROR(TER_handel_ele_kWh/1000),0,TER_handel_ele_kWh/1000)</f>
        <v>2847.6320056906502</v>
      </c>
      <c r="C28" s="39">
        <f>IF(ISERROR(B28*3.6/1000000/'E Balans VL '!Z13*100),0,B28*3.6/1000000/'E Balans VL '!Z13*100)</f>
        <v>8.530828439261641E-2</v>
      </c>
      <c r="D28" s="233" t="s">
        <v>691</v>
      </c>
      <c r="F28" s="6"/>
    </row>
    <row r="29" spans="1:18">
      <c r="A29" s="228" t="s">
        <v>50</v>
      </c>
      <c r="B29" s="33">
        <f>IF(ISERROR(TER_gezond_ele_kWh/1000),0,TER_gezond_ele_kWh/1000)</f>
        <v>121.944179191234</v>
      </c>
      <c r="C29" s="39">
        <f>IF(ISERROR(B29*3.6/1000000/'E Balans VL '!Z10*100),0,B29*3.6/1000000/'E Balans VL '!Z10*100)</f>
        <v>1.2057888234220009E-2</v>
      </c>
      <c r="D29" s="233" t="s">
        <v>691</v>
      </c>
      <c r="F29" s="6"/>
    </row>
    <row r="30" spans="1:18">
      <c r="A30" s="228" t="s">
        <v>49</v>
      </c>
      <c r="B30" s="33">
        <f>IF(ISERROR(TER_ander_ele_kWh/1000),0,TER_ander_ele_kWh/1000)</f>
        <v>2788.30275140603</v>
      </c>
      <c r="C30" s="39">
        <f>IF(ISERROR(B30*3.6/1000000/'E Balans VL '!Z14*100),0,B30*3.6/1000000/'E Balans VL '!Z14*100)</f>
        <v>0.11277860632236388</v>
      </c>
      <c r="D30" s="233" t="s">
        <v>691</v>
      </c>
      <c r="F30" s="6"/>
    </row>
    <row r="31" spans="1:18">
      <c r="A31" s="228" t="s">
        <v>54</v>
      </c>
      <c r="B31" s="33">
        <f>IF(ISERROR(TER_onderwijs_ele_kWh/1000),0,TER_onderwijs_ele_kWh/1000)</f>
        <v>97.425718723876997</v>
      </c>
      <c r="C31" s="39">
        <f>IF(ISERROR(B31*3.6/1000000/'E Balans VL '!Z11*100),0,B31*3.6/1000000/'E Balans VL '!Z11*100)</f>
        <v>2.676710581179818E-2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9</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373718.54400773795</v>
      </c>
      <c r="C5" s="17">
        <f>IF(ISERROR('Eigen informatie GS &amp; warmtenet'!B61),0,'Eigen informatie GS &amp; warmtenet'!B61)</f>
        <v>0</v>
      </c>
      <c r="D5" s="30">
        <f>SUM(D6:D15)</f>
        <v>453248.57708382868</v>
      </c>
      <c r="E5" s="17">
        <f>SUM(E6:E15)</f>
        <v>882.68500034969043</v>
      </c>
      <c r="F5" s="17">
        <f>SUM(F6:F15)</f>
        <v>107665.41312203142</v>
      </c>
      <c r="G5" s="18"/>
      <c r="H5" s="17"/>
      <c r="I5" s="17"/>
      <c r="J5" s="17">
        <f>SUM(J6:J15)</f>
        <v>1.5591281619006767</v>
      </c>
      <c r="K5" s="17"/>
      <c r="L5" s="17"/>
      <c r="M5" s="17"/>
      <c r="N5" s="17">
        <f>SUM(N6:N15)</f>
        <v>17110.652663585188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1072.92344557193</v>
      </c>
      <c r="C8" s="33"/>
      <c r="D8" s="37">
        <f>IF( ISERROR(IND_metaal_Gas_kWH/1000),0,IND_metaal_Gas_kWH/1000)*0.903</f>
        <v>82.634880868011933</v>
      </c>
      <c r="E8" s="33">
        <f>C30*'E Balans VL '!I18/100/3.6*1000000</f>
        <v>5.4098672155330982</v>
      </c>
      <c r="F8" s="33">
        <f>C30*'E Balans VL '!L18/100/3.6*1000000+C30*'E Balans VL '!N18/100/3.6*1000000</f>
        <v>73.304322267991253</v>
      </c>
      <c r="G8" s="34"/>
      <c r="H8" s="33"/>
      <c r="I8" s="33"/>
      <c r="J8" s="40">
        <f>C30*'E Balans VL '!D18/100/3.6*1000000+C30*'E Balans VL '!E18/100/3.6*1000000</f>
        <v>0.95123815604844764</v>
      </c>
      <c r="K8" s="33"/>
      <c r="L8" s="33"/>
      <c r="M8" s="33"/>
      <c r="N8" s="33">
        <f>C30*'E Balans VL '!Y18/100/3.6*1000000</f>
        <v>14.25915895894442</v>
      </c>
      <c r="O8" s="33"/>
      <c r="P8" s="33"/>
      <c r="R8" s="32"/>
    </row>
    <row r="9" spans="1:18">
      <c r="A9" s="6" t="s">
        <v>32</v>
      </c>
      <c r="B9" s="37">
        <f t="shared" si="0"/>
        <v>169311.29743529999</v>
      </c>
      <c r="C9" s="33"/>
      <c r="D9" s="37">
        <f>IF( ISERROR(IND_andere_gas_kWh/1000),0,IND_andere_gas_kWh/1000)*0.903</f>
        <v>66865.020933836277</v>
      </c>
      <c r="E9" s="33">
        <f>C31*'E Balans VL '!I19/100/3.6*1000000</f>
        <v>533.70922510776359</v>
      </c>
      <c r="F9" s="33">
        <f>C31*'E Balans VL '!L19/100/3.6*1000000+C31*'E Balans VL '!N19/100/3.6*1000000</f>
        <v>103645.25527489411</v>
      </c>
      <c r="G9" s="34"/>
      <c r="H9" s="33"/>
      <c r="I9" s="33"/>
      <c r="J9" s="40">
        <f>C31*'E Balans VL '!D19/100/3.6*1000000+C31*'E Balans VL '!E19/100/3.6*1000000</f>
        <v>0</v>
      </c>
      <c r="K9" s="33"/>
      <c r="L9" s="33"/>
      <c r="M9" s="33"/>
      <c r="N9" s="33">
        <f>C31*'E Balans VL '!Y19/100/3.6*1000000</f>
        <v>7099.4525958742142</v>
      </c>
      <c r="O9" s="33"/>
      <c r="P9" s="33"/>
      <c r="R9" s="32"/>
    </row>
    <row r="10" spans="1:18">
      <c r="A10" s="6" t="s">
        <v>40</v>
      </c>
      <c r="B10" s="37">
        <f t="shared" si="0"/>
        <v>72792.289827640503</v>
      </c>
      <c r="C10" s="33"/>
      <c r="D10" s="37">
        <f>IF( ISERROR(IND_voed_gas_kWh/1000),0,IND_voed_gas_kWh/1000)*0.903</f>
        <v>89807.889454999866</v>
      </c>
      <c r="E10" s="33">
        <f>C32*'E Balans VL '!I20/100/3.6*1000000</f>
        <v>116.01046676523188</v>
      </c>
      <c r="F10" s="33">
        <f>C32*'E Balans VL '!L20/100/3.6*1000000+C32*'E Balans VL '!N20/100/3.6*1000000</f>
        <v>1182.6978771824729</v>
      </c>
      <c r="G10" s="34"/>
      <c r="H10" s="33"/>
      <c r="I10" s="33"/>
      <c r="J10" s="40">
        <f>C32*'E Balans VL '!D20/100/3.6*1000000+C32*'E Balans VL '!E20/100/3.6*1000000</f>
        <v>0</v>
      </c>
      <c r="K10" s="33"/>
      <c r="L10" s="33"/>
      <c r="M10" s="33"/>
      <c r="N10" s="33">
        <f>C32*'E Balans VL '!Y20/100/3.6*1000000</f>
        <v>2299.1440645252951</v>
      </c>
      <c r="O10" s="33"/>
      <c r="P10" s="33"/>
      <c r="R10" s="32"/>
    </row>
    <row r="11" spans="1:18">
      <c r="A11" s="6" t="s">
        <v>39</v>
      </c>
      <c r="B11" s="37">
        <f t="shared" si="0"/>
        <v>117611.75352558101</v>
      </c>
      <c r="C11" s="33"/>
      <c r="D11" s="37">
        <f>IF( ISERROR(IND_textiel_gas_kWh/1000),0,IND_textiel_gas_kWh/1000)*0.903</f>
        <v>135277.95754752576</v>
      </c>
      <c r="E11" s="33">
        <f>C33*'E Balans VL '!I21/100/3.6*1000000</f>
        <v>170.63316332946656</v>
      </c>
      <c r="F11" s="33">
        <f>C33*'E Balans VL '!L21/100/3.6*1000000+C33*'E Balans VL '!N21/100/3.6*1000000</f>
        <v>2301.7375840656764</v>
      </c>
      <c r="G11" s="34"/>
      <c r="H11" s="33"/>
      <c r="I11" s="33"/>
      <c r="J11" s="40">
        <f>C33*'E Balans VL '!D21/100/3.6*1000000+C33*'E Balans VL '!E21/100/3.6*1000000</f>
        <v>0</v>
      </c>
      <c r="K11" s="33"/>
      <c r="L11" s="33"/>
      <c r="M11" s="33"/>
      <c r="N11" s="33">
        <f>C33*'E Balans VL '!Y21/100/3.6*1000000</f>
        <v>5729.7777068282494</v>
      </c>
      <c r="O11" s="33"/>
      <c r="P11" s="33"/>
      <c r="R11" s="32"/>
    </row>
    <row r="12" spans="1:18">
      <c r="A12" s="6" t="s">
        <v>36</v>
      </c>
      <c r="B12" s="37">
        <f t="shared" si="0"/>
        <v>11509.4182612512</v>
      </c>
      <c r="C12" s="33"/>
      <c r="D12" s="37">
        <f>IF( ISERROR(IND_min_gas_kWh/1000),0,IND_min_gas_kWh/1000)*0.903</f>
        <v>160331.5310696479</v>
      </c>
      <c r="E12" s="33">
        <f>C34*'E Balans VL '!I22/100/3.6*1000000</f>
        <v>49.804369385593048</v>
      </c>
      <c r="F12" s="33">
        <f>C34*'E Balans VL '!L22/100/3.6*1000000+C34*'E Balans VL '!N22/100/3.6*1000000</f>
        <v>439.4437967782398</v>
      </c>
      <c r="G12" s="34"/>
      <c r="H12" s="33"/>
      <c r="I12" s="33"/>
      <c r="J12" s="40">
        <f>C34*'E Balans VL '!D22/100/3.6*1000000+C34*'E Balans VL '!E22/100/3.6*1000000</f>
        <v>0</v>
      </c>
      <c r="K12" s="33"/>
      <c r="L12" s="33"/>
      <c r="M12" s="33"/>
      <c r="N12" s="33">
        <f>C34*'E Balans VL '!Y22/100/3.6*1000000</f>
        <v>1963.2474893105764</v>
      </c>
      <c r="O12" s="33"/>
      <c r="P12" s="33"/>
      <c r="R12" s="32"/>
    </row>
    <row r="13" spans="1:18">
      <c r="A13" s="6" t="s">
        <v>38</v>
      </c>
      <c r="B13" s="37">
        <f t="shared" si="0"/>
        <v>1138.4696613968799</v>
      </c>
      <c r="C13" s="33"/>
      <c r="D13" s="37">
        <f>IF( ISERROR(IND_papier_gas_kWh/1000),0,IND_papier_gas_kWh/1000)*0.903</f>
        <v>659.13137824323212</v>
      </c>
      <c r="E13" s="33">
        <f>C35*'E Balans VL '!I23/100/3.6*1000000</f>
        <v>0</v>
      </c>
      <c r="F13" s="33">
        <f>C35*'E Balans VL '!L23/100/3.6*1000000+C35*'E Balans VL '!N23/100/3.6*1000000</f>
        <v>4.9323799478862902E-2</v>
      </c>
      <c r="G13" s="34"/>
      <c r="H13" s="33"/>
      <c r="I13" s="33"/>
      <c r="J13" s="40">
        <f>C35*'E Balans VL '!D23/100/3.6*1000000+C35*'E Balans VL '!E23/100/3.6*1000000</f>
        <v>3.1370268831630709E-2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282.391850996404</v>
      </c>
      <c r="C15" s="33"/>
      <c r="D15" s="37">
        <f>IF( ISERROR(IND_rest_gas_kWh/1000),0,IND_rest_gas_kWh/1000)*0.903</f>
        <v>224.41181870764538</v>
      </c>
      <c r="E15" s="33">
        <f>C37*'E Balans VL '!I15/100/3.6*1000000</f>
        <v>7.1179085461021465</v>
      </c>
      <c r="F15" s="33">
        <f>C37*'E Balans VL '!L15/100/3.6*1000000+C37*'E Balans VL '!N15/100/3.6*1000000</f>
        <v>22.924943043444475</v>
      </c>
      <c r="G15" s="34"/>
      <c r="H15" s="33"/>
      <c r="I15" s="33"/>
      <c r="J15" s="40">
        <f>C37*'E Balans VL '!D15/100/3.6*1000000+C37*'E Balans VL '!E15/100/3.6*1000000</f>
        <v>0.57651973702059844</v>
      </c>
      <c r="K15" s="33"/>
      <c r="L15" s="33"/>
      <c r="M15" s="33"/>
      <c r="N15" s="33">
        <f>C37*'E Balans VL '!Y15/100/3.6*1000000</f>
        <v>4.7716480879102185</v>
      </c>
      <c r="O15" s="33"/>
      <c r="P15" s="33"/>
      <c r="R15" s="32"/>
    </row>
    <row r="16" spans="1:18">
      <c r="A16" s="16" t="s">
        <v>473</v>
      </c>
      <c r="B16" s="243">
        <f>'lokale energieproductie'!N38+'lokale energieproductie'!N31</f>
        <v>2943</v>
      </c>
      <c r="C16" s="243">
        <f>'lokale energieproductie'!O38+'lokale energieproductie'!O31</f>
        <v>4204.2857142857147</v>
      </c>
      <c r="D16" s="304">
        <f>('lokale energieproductie'!P31+'lokale energieproductie'!P38)*(-1)</f>
        <v>-8408.5714285714294</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376661.54400773795</v>
      </c>
      <c r="C18" s="21">
        <f>C5+C16</f>
        <v>4204.2857142857147</v>
      </c>
      <c r="D18" s="21">
        <f>MAX((D5+D16),0)</f>
        <v>444840.00565525726</v>
      </c>
      <c r="E18" s="21">
        <f>MAX((E5+E16),0)</f>
        <v>882.68500034969043</v>
      </c>
      <c r="F18" s="21">
        <f>MAX((F5+F16),0)</f>
        <v>107665.41312203142</v>
      </c>
      <c r="G18" s="21"/>
      <c r="H18" s="21"/>
      <c r="I18" s="21"/>
      <c r="J18" s="21">
        <f>MAX((J5+J16),0)</f>
        <v>1.5591281619006767</v>
      </c>
      <c r="K18" s="21"/>
      <c r="L18" s="21">
        <f>MAX((L5+L16),0)</f>
        <v>0</v>
      </c>
      <c r="M18" s="21"/>
      <c r="N18" s="21">
        <f>MAX((N5+N16),0)</f>
        <v>17110.652663585188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0.20586288055211732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77540.630442641035</v>
      </c>
      <c r="C22" s="23">
        <f ca="1">C18*C20</f>
        <v>999.13613445378166</v>
      </c>
      <c r="D22" s="23">
        <f>D18*D20</f>
        <v>89857.68114236198</v>
      </c>
      <c r="E22" s="23">
        <f>E18*E20</f>
        <v>200.36949507937973</v>
      </c>
      <c r="F22" s="23">
        <f>F18*F20</f>
        <v>28746.665303582391</v>
      </c>
      <c r="G22" s="23"/>
      <c r="H22" s="23"/>
      <c r="I22" s="23"/>
      <c r="J22" s="23">
        <f>J18*J20</f>
        <v>0.55193136931283948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1072.92344557193</v>
      </c>
      <c r="C30" s="39">
        <f>IF(ISERROR(B30*3.6/1000000/'E Balans VL '!Z18*100),0,B30*3.6/1000000/'E Balans VL '!Z18*100)</f>
        <v>5.3257501738326614E-2</v>
      </c>
      <c r="D30" s="233" t="s">
        <v>691</v>
      </c>
    </row>
    <row r="31" spans="1:18">
      <c r="A31" s="6" t="s">
        <v>32</v>
      </c>
      <c r="B31" s="37">
        <f>IF( ISERROR(IND_ander_ele_kWh/1000),0,IND_ander_ele_kWh/1000)</f>
        <v>169311.29743529999</v>
      </c>
      <c r="C31" s="39">
        <f>IF(ISERROR(B31*3.6/1000000/'E Balans VL '!Z19*100),0,B31*3.6/1000000/'E Balans VL '!Z19*100)</f>
        <v>5.713388683670253</v>
      </c>
      <c r="D31" s="233" t="s">
        <v>691</v>
      </c>
    </row>
    <row r="32" spans="1:18">
      <c r="A32" s="168" t="s">
        <v>40</v>
      </c>
      <c r="B32" s="37">
        <f>IF( ISERROR(IND_voed_ele_kWh/1000),0,IND_voed_ele_kWh/1000)</f>
        <v>72792.289827640503</v>
      </c>
      <c r="C32" s="39">
        <f>IF(ISERROR(B32*3.6/1000000/'E Balans VL '!Z20*100),0,B32*3.6/1000000/'E Balans VL '!Z20*100)</f>
        <v>1.7094769241432408</v>
      </c>
      <c r="D32" s="233" t="s">
        <v>691</v>
      </c>
    </row>
    <row r="33" spans="1:5">
      <c r="A33" s="168" t="s">
        <v>39</v>
      </c>
      <c r="B33" s="37">
        <f>IF( ISERROR(IND_textiel_ele_kWh/1000),0,IND_textiel_ele_kWh/1000)</f>
        <v>117611.75352558101</v>
      </c>
      <c r="C33" s="39">
        <f>IF(ISERROR(B33*3.6/1000000/'E Balans VL '!Z21*100),0,B33*3.6/1000000/'E Balans VL '!Z21*100)</f>
        <v>12.90774086963815</v>
      </c>
      <c r="D33" s="233" t="s">
        <v>691</v>
      </c>
    </row>
    <row r="34" spans="1:5">
      <c r="A34" s="168" t="s">
        <v>36</v>
      </c>
      <c r="B34" s="37">
        <f>IF( ISERROR(IND_min_ele_kWh/1000),0,IND_min_ele_kWh/1000)</f>
        <v>11509.4182612512</v>
      </c>
      <c r="C34" s="39">
        <f>IF(ISERROR(B34*3.6/1000000/'E Balans VL '!Z22*100),0,B34*3.6/1000000/'E Balans VL '!Z22*100)</f>
        <v>1.6328498991810474</v>
      </c>
      <c r="D34" s="233" t="s">
        <v>691</v>
      </c>
    </row>
    <row r="35" spans="1:5">
      <c r="A35" s="168" t="s">
        <v>38</v>
      </c>
      <c r="B35" s="37">
        <f>IF( ISERROR(IND_papier_ele_kWh/1000),0,IND_papier_ele_kWh/1000)</f>
        <v>1138.4696613968799</v>
      </c>
      <c r="C35" s="39">
        <f>IF(ISERROR(B35*3.6/1000000/'E Balans VL '!Z22*100),0,B35*3.6/1000000/'E Balans VL '!Z22*100)</f>
        <v>0.16151555444736165</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282.391850996404</v>
      </c>
      <c r="C37" s="39">
        <f>IF(ISERROR(B37*3.6/1000000/'E Balans VL '!Z15*100),0,B37*3.6/1000000/'E Balans VL '!Z15*100)</f>
        <v>1.0582717082104991E-3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1143.6954987030299</v>
      </c>
      <c r="C5" s="17">
        <f>'Eigen informatie GS &amp; warmtenet'!B62</f>
        <v>0</v>
      </c>
      <c r="D5" s="30">
        <f>IF(ISERROR(SUM(LB_lb_gas_kWh,LB_rest_gas_kWh)/1000),0,SUM(LB_lb_gas_kWh,LB_rest_gas_kWh)/1000)*0.903</f>
        <v>344.61686124165573</v>
      </c>
      <c r="E5" s="17">
        <f>B17*'E Balans VL '!I25/3.6*1000000/100</f>
        <v>42.651903461611482</v>
      </c>
      <c r="F5" s="17">
        <f>B17*('E Balans VL '!L25/3.6*1000000+'E Balans VL '!N25/3.6*1000000)/100</f>
        <v>3710.5901391294919</v>
      </c>
      <c r="G5" s="18"/>
      <c r="H5" s="17"/>
      <c r="I5" s="17"/>
      <c r="J5" s="17">
        <f>('E Balans VL '!D25+'E Balans VL '!E25)/3.6*1000000*landbouw!B17/100</f>
        <v>300.2257147280115</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1143.6954987030299</v>
      </c>
      <c r="C8" s="21">
        <f>C5+C6</f>
        <v>0</v>
      </c>
      <c r="D8" s="21">
        <f>MAX((D5+D6),0)</f>
        <v>344.61686124165573</v>
      </c>
      <c r="E8" s="21">
        <f>MAX((E5+E6),0)</f>
        <v>42.651903461611482</v>
      </c>
      <c r="F8" s="21">
        <f>MAX((F5+F6),0)</f>
        <v>3710.5901391294919</v>
      </c>
      <c r="G8" s="21"/>
      <c r="H8" s="21"/>
      <c r="I8" s="21"/>
      <c r="J8" s="21">
        <f>MAX((J5+J6),0)</f>
        <v>300.2257147280115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0.20586288055211732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235.44444983749611</v>
      </c>
      <c r="C12" s="23">
        <f ca="1">C8*C10</f>
        <v>0</v>
      </c>
      <c r="D12" s="23">
        <f>D8*D10</f>
        <v>69.612605970814457</v>
      </c>
      <c r="E12" s="23">
        <f>E8*E10</f>
        <v>9.6819820857858065</v>
      </c>
      <c r="F12" s="23">
        <f>F8*F10</f>
        <v>990.7275671475744</v>
      </c>
      <c r="G12" s="23"/>
      <c r="H12" s="23"/>
      <c r="I12" s="23"/>
      <c r="J12" s="23">
        <f>J8*J10</f>
        <v>106.27990301371607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0.15708359225246579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176.72042634862049</v>
      </c>
      <c r="C26" s="243">
        <f>B26*'GWP N2O_CH4'!B5</f>
        <v>3711.1289533210302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114.15430152240559</v>
      </c>
      <c r="C27" s="243">
        <f>B27*'GWP N2O_CH4'!B5</f>
        <v>2397.2403319705172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3.2063923387792399</v>
      </c>
      <c r="C28" s="243">
        <f>B28*'GWP N2O_CH4'!B4</f>
        <v>993.98162502156435</v>
      </c>
      <c r="D28" s="50"/>
    </row>
    <row r="29" spans="1:4">
      <c r="A29" s="41" t="s">
        <v>272</v>
      </c>
      <c r="B29" s="243">
        <f>B34*'ha_N2O bodem landbouw'!B4</f>
        <v>6.7668076678704372</v>
      </c>
      <c r="C29" s="243">
        <f>B29*'GWP N2O_CH4'!B4</f>
        <v>2097.7103770398357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1.5421747922373743E-3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2.1627143156802535E-4</v>
      </c>
      <c r="C5" s="434" t="s">
        <v>210</v>
      </c>
      <c r="D5" s="419">
        <f>SUM(D6:D11)</f>
        <v>4.1896611745597333E-4</v>
      </c>
      <c r="E5" s="419">
        <f>SUM(E6:E11)</f>
        <v>2.2807449789936831E-4</v>
      </c>
      <c r="F5" s="432" t="s">
        <v>210</v>
      </c>
      <c r="G5" s="419">
        <f>SUM(G6:G11)</f>
        <v>0.14354841609474031</v>
      </c>
      <c r="H5" s="419">
        <f>SUM(H6:H11)</f>
        <v>2.5371113239241887E-2</v>
      </c>
      <c r="I5" s="434" t="s">
        <v>210</v>
      </c>
      <c r="J5" s="434" t="s">
        <v>210</v>
      </c>
      <c r="K5" s="434" t="s">
        <v>210</v>
      </c>
      <c r="L5" s="434" t="s">
        <v>210</v>
      </c>
      <c r="M5" s="419">
        <f>SUM(M6:M11)</f>
        <v>9.8456628446156619E-3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1.2099453976255602E-4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2.1025046718082654E-4</v>
      </c>
      <c r="E6" s="885">
        <f>vkm_GW_PW*SUMIFS(TableVerdeelsleutelVkm[LPG],TableVerdeelsleutelVkm[Voertuigtype],"Lichte voertuigen")*SUMIFS(TableECFTransport[EnergieConsumptieFactor (PJ per km)],TableECFTransport[Index],CONCATENATE($A6,"_LPG_LPG"))</f>
        <v>1.1691297503853947E-4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3.5133460600988743E-2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1.2809777187332769E-2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2.8685624196312554E-3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1.2217157625128957E-6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5.056375843761745E-2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5.1439354447403233E-7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2.8468175543436731E-3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9.3546549804460248E-5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2.087156502751468E-4</v>
      </c>
      <c r="E8" s="422">
        <f>vkm_NGW_PW*SUMIFS(TableVerdeelsleutelVkm[LPG],TableVerdeelsleutelVkm[Voertuigtype],"Lichte voertuigen")*SUMIFS(TableECFTransport[EnergieConsumptieFactor (PJ per km)],TableECFTransport[Index],CONCATENATE($A8,"_LPG_LPG"))</f>
        <v>1.1116152286082885E-4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3.0742712783832078E-2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1.2560563170273698E-2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2.6040346149252941E-3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5.0862623849617896E-7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2.7108484272302051E-2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2.5848809094518108E-7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1.5262482557154397E-3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60.075397657784819</v>
      </c>
      <c r="C14" s="21"/>
      <c r="D14" s="21">
        <f t="shared" ref="D14:M14" si="0">((D5)*10^9/3600)+D12</f>
        <v>116.37947707110371</v>
      </c>
      <c r="E14" s="21">
        <f t="shared" si="0"/>
        <v>63.35402719426898</v>
      </c>
      <c r="F14" s="21"/>
      <c r="G14" s="21">
        <f t="shared" si="0"/>
        <v>39874.560026316751</v>
      </c>
      <c r="H14" s="21">
        <f t="shared" si="0"/>
        <v>7047.5314553449689</v>
      </c>
      <c r="I14" s="21"/>
      <c r="J14" s="21"/>
      <c r="K14" s="21"/>
      <c r="L14" s="21"/>
      <c r="M14" s="21">
        <f t="shared" si="0"/>
        <v>2734.9063457265729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0.20586288055211732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12.367294412145505</v>
      </c>
      <c r="C18" s="23"/>
      <c r="D18" s="23">
        <f t="shared" ref="D18:M18" si="1">D14*D16</f>
        <v>23.508654368362951</v>
      </c>
      <c r="E18" s="23">
        <f t="shared" si="1"/>
        <v>14.381364173099058</v>
      </c>
      <c r="F18" s="23"/>
      <c r="G18" s="23">
        <f t="shared" si="1"/>
        <v>10646.507527026573</v>
      </c>
      <c r="H18" s="23">
        <f t="shared" si="1"/>
        <v>1754.8353323808972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1.7873332295004148E-5</v>
      </c>
      <c r="C50" s="315">
        <f t="shared" ref="C50:P50" si="2">SUM(C51:C52)</f>
        <v>0</v>
      </c>
      <c r="D50" s="315">
        <f t="shared" si="2"/>
        <v>0</v>
      </c>
      <c r="E50" s="315">
        <f t="shared" si="2"/>
        <v>0</v>
      </c>
      <c r="F50" s="315">
        <f t="shared" si="2"/>
        <v>0</v>
      </c>
      <c r="G50" s="315">
        <f t="shared" si="2"/>
        <v>1.2757662378560354E-3</v>
      </c>
      <c r="H50" s="315">
        <f t="shared" si="2"/>
        <v>0</v>
      </c>
      <c r="I50" s="315">
        <f t="shared" si="2"/>
        <v>0</v>
      </c>
      <c r="J50" s="315">
        <f t="shared" si="2"/>
        <v>0</v>
      </c>
      <c r="K50" s="315">
        <f t="shared" si="2"/>
        <v>0</v>
      </c>
      <c r="L50" s="315">
        <f t="shared" si="2"/>
        <v>0</v>
      </c>
      <c r="M50" s="315">
        <f t="shared" si="2"/>
        <v>7.0446017732559991E-5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1.7873332295004148E-5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1.2757662378560354E-3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7.0446017732559991E-5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4.9648145263900414</v>
      </c>
      <c r="C54" s="21">
        <f t="shared" ref="C54:P54" si="3">(C50)*10^9/3600</f>
        <v>0</v>
      </c>
      <c r="D54" s="21">
        <f t="shared" si="3"/>
        <v>0</v>
      </c>
      <c r="E54" s="21">
        <f t="shared" si="3"/>
        <v>0</v>
      </c>
      <c r="F54" s="21">
        <f t="shared" si="3"/>
        <v>0</v>
      </c>
      <c r="G54" s="21">
        <f t="shared" si="3"/>
        <v>354.37951051556536</v>
      </c>
      <c r="H54" s="21">
        <f t="shared" si="3"/>
        <v>0</v>
      </c>
      <c r="I54" s="21">
        <f t="shared" si="3"/>
        <v>0</v>
      </c>
      <c r="J54" s="21">
        <f t="shared" si="3"/>
        <v>0</v>
      </c>
      <c r="K54" s="21">
        <f t="shared" si="3"/>
        <v>0</v>
      </c>
      <c r="L54" s="21">
        <f t="shared" si="3"/>
        <v>0</v>
      </c>
      <c r="M54" s="21">
        <f t="shared" si="3"/>
        <v>19.568338259044442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0.20586288055211732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1.0220710198096501</v>
      </c>
      <c r="C58" s="23">
        <f t="shared" ref="C58:P58" ca="1" si="4">C54*C56</f>
        <v>0</v>
      </c>
      <c r="D58" s="23">
        <f t="shared" si="4"/>
        <v>0</v>
      </c>
      <c r="E58" s="23">
        <f t="shared" si="4"/>
        <v>0</v>
      </c>
      <c r="F58" s="23">
        <f t="shared" si="4"/>
        <v>0</v>
      </c>
      <c r="G58" s="23">
        <f t="shared" si="4"/>
        <v>94.61932930765596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17158.66804079678</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10995.746420411631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2943</v>
      </c>
      <c r="C8" s="544">
        <f>B49</f>
        <v>3462.3529411764707</v>
      </c>
      <c r="D8" s="545"/>
      <c r="E8" s="545">
        <f>E49</f>
        <v>0</v>
      </c>
      <c r="F8" s="546"/>
      <c r="G8" s="547"/>
      <c r="H8" s="545">
        <f>I49</f>
        <v>0</v>
      </c>
      <c r="I8" s="545">
        <f>G49+F49</f>
        <v>0</v>
      </c>
      <c r="J8" s="545">
        <f>H49+D49+C49</f>
        <v>0</v>
      </c>
      <c r="K8" s="545"/>
      <c r="L8" s="545"/>
      <c r="M8" s="545"/>
      <c r="N8" s="548"/>
      <c r="O8" s="549">
        <f>C8*$C$12+D8*$D$12+E8*$E$12+F8*$F$12+G8*$G$12+H8*$H$12+I8*$I$12+J8*$J$12</f>
        <v>699.39529411764715</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31097.414461208413</v>
      </c>
      <c r="C10" s="559">
        <f t="shared" ref="C10:L10" si="0">SUM(C8:C9)</f>
        <v>3462.3529411764707</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699.39529411764715</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4204.2857142857147</v>
      </c>
      <c r="C17" s="575">
        <f>B50</f>
        <v>4946.2184873949582</v>
      </c>
      <c r="D17" s="576"/>
      <c r="E17" s="576">
        <f>E50</f>
        <v>0</v>
      </c>
      <c r="F17" s="577"/>
      <c r="G17" s="578"/>
      <c r="H17" s="575">
        <f>I50</f>
        <v>0</v>
      </c>
      <c r="I17" s="576">
        <f>G50+F50</f>
        <v>0</v>
      </c>
      <c r="J17" s="576">
        <f>H50+D50+C50</f>
        <v>0</v>
      </c>
      <c r="K17" s="576"/>
      <c r="L17" s="576"/>
      <c r="M17" s="576"/>
      <c r="N17" s="961"/>
      <c r="O17" s="579">
        <f>C17*$C$22+E17*$E$22+H17*$H$22+I17*$I$22+J17*$J$22+D17*$D$22+F17*$F$22+G17*$G$22+K17*$K$22+L17*$L$22</f>
        <v>999.13613445378166</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4204.2857142857147</v>
      </c>
      <c r="C20" s="558">
        <f>SUM(C17:C19)</f>
        <v>4946.2184873949582</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999.13613445378166</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37017</v>
      </c>
      <c r="C28" s="786">
        <v>8710</v>
      </c>
      <c r="D28" s="636" t="s">
        <v>883</v>
      </c>
      <c r="E28" s="635" t="s">
        <v>884</v>
      </c>
      <c r="F28" s="635" t="s">
        <v>885</v>
      </c>
      <c r="G28" s="635" t="s">
        <v>886</v>
      </c>
      <c r="H28" s="635" t="s">
        <v>887</v>
      </c>
      <c r="I28" s="635" t="s">
        <v>884</v>
      </c>
      <c r="J28" s="785">
        <v>40039</v>
      </c>
      <c r="K28" s="785">
        <v>40120</v>
      </c>
      <c r="L28" s="635" t="s">
        <v>888</v>
      </c>
      <c r="M28" s="635">
        <v>254</v>
      </c>
      <c r="N28" s="635">
        <v>1143</v>
      </c>
      <c r="O28" s="635">
        <v>1632.8571428571429</v>
      </c>
      <c r="P28" s="635">
        <v>3265.7142857142858</v>
      </c>
      <c r="Q28" s="635">
        <v>0</v>
      </c>
      <c r="R28" s="635">
        <v>0</v>
      </c>
      <c r="S28" s="635">
        <v>0</v>
      </c>
      <c r="T28" s="635">
        <v>0</v>
      </c>
      <c r="U28" s="635">
        <v>0</v>
      </c>
      <c r="V28" s="635">
        <v>0</v>
      </c>
      <c r="W28" s="635">
        <v>0</v>
      </c>
      <c r="X28" s="635">
        <v>400</v>
      </c>
      <c r="Y28" s="635" t="s">
        <v>36</v>
      </c>
      <c r="Z28" s="637" t="s">
        <v>379</v>
      </c>
    </row>
    <row r="29" spans="1:26" s="589" customFormat="1" ht="25.5">
      <c r="A29" s="588"/>
      <c r="B29" s="786">
        <v>37017</v>
      </c>
      <c r="C29" s="786">
        <v>8710</v>
      </c>
      <c r="D29" s="636" t="s">
        <v>889</v>
      </c>
      <c r="E29" s="635"/>
      <c r="F29" s="635" t="s">
        <v>890</v>
      </c>
      <c r="G29" s="635" t="s">
        <v>891</v>
      </c>
      <c r="H29" s="635" t="s">
        <v>887</v>
      </c>
      <c r="I29" s="635" t="s">
        <v>892</v>
      </c>
      <c r="J29" s="785">
        <v>42472</v>
      </c>
      <c r="K29" s="785">
        <v>42579</v>
      </c>
      <c r="L29" s="635" t="s">
        <v>893</v>
      </c>
      <c r="M29" s="635">
        <v>400</v>
      </c>
      <c r="N29" s="635">
        <v>1800</v>
      </c>
      <c r="O29" s="635">
        <v>2571.4285714285716</v>
      </c>
      <c r="P29" s="635">
        <v>5142.8571428571431</v>
      </c>
      <c r="Q29" s="635">
        <v>0</v>
      </c>
      <c r="R29" s="635">
        <v>0</v>
      </c>
      <c r="S29" s="635">
        <v>0</v>
      </c>
      <c r="T29" s="635">
        <v>0</v>
      </c>
      <c r="U29" s="635">
        <v>0</v>
      </c>
      <c r="V29" s="635">
        <v>0</v>
      </c>
      <c r="W29" s="635">
        <v>0</v>
      </c>
      <c r="X29" s="635">
        <v>400</v>
      </c>
      <c r="Y29" s="635" t="s">
        <v>36</v>
      </c>
      <c r="Z29" s="637" t="s">
        <v>379</v>
      </c>
    </row>
    <row r="30" spans="1:26" s="569" customFormat="1">
      <c r="A30" s="591" t="s">
        <v>275</v>
      </c>
      <c r="B30" s="592"/>
      <c r="C30" s="592"/>
      <c r="D30" s="592"/>
      <c r="E30" s="592"/>
      <c r="F30" s="592"/>
      <c r="G30" s="592"/>
      <c r="H30" s="592"/>
      <c r="I30" s="592"/>
      <c r="J30" s="592"/>
      <c r="K30" s="592"/>
      <c r="L30" s="593"/>
      <c r="M30" s="593">
        <f>SUM(M28:M29)</f>
        <v>654</v>
      </c>
      <c r="N30" s="593">
        <f>SUM(N28:N29)</f>
        <v>2943</v>
      </c>
      <c r="O30" s="593">
        <f>SUM(O28:O29)</f>
        <v>4204.2857142857147</v>
      </c>
      <c r="P30" s="593">
        <f>SUM(P28:P29)</f>
        <v>8408.5714285714294</v>
      </c>
      <c r="Q30" s="593">
        <f>SUM(Q28:Q29)</f>
        <v>0</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654</v>
      </c>
      <c r="N31" s="593">
        <f>SUMIF($Z$28:$Z$29,"industrie",N28:N29)</f>
        <v>2943</v>
      </c>
      <c r="O31" s="593">
        <f>SUMIF($Z$28:$Z$29,"industrie",O28:O29)</f>
        <v>4204.2857142857147</v>
      </c>
      <c r="P31" s="593">
        <f>SUMIF($Z$28:$Z$29,"industrie",P28:P29)</f>
        <v>8408.5714285714294</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0</v>
      </c>
      <c r="N32" s="593">
        <f ca="1">SUMIF($Z$28:AD29,"tertiair",N28:N29)</f>
        <v>0</v>
      </c>
      <c r="O32" s="593">
        <f ca="1">SUMIF($Z$28:AE29,"tertiair",O28:O29)</f>
        <v>0</v>
      </c>
      <c r="P32" s="593">
        <f ca="1">SUMIF($Z$28:AF29,"tertiair",P28:P29)</f>
        <v>0</v>
      </c>
      <c r="Q32" s="593">
        <f ca="1">SUMIF($Z$28:AG29,"tertiair",Q28:Q29)</f>
        <v>0</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0</v>
      </c>
      <c r="N33" s="598">
        <f>SUMIF($Z$28:$Z$29,"landbouw",N28:N29)</f>
        <v>0</v>
      </c>
      <c r="O33" s="598">
        <f>SUMIF($Z$28:$Z$29,"landbouw",O28:O29)</f>
        <v>0</v>
      </c>
      <c r="P33" s="598">
        <f>SUMIF($Z$28:$Z$29,"landbouw",P28:P29)</f>
        <v>0</v>
      </c>
      <c r="Q33" s="598">
        <f>SUMIF($Z$28:$Z$29,"landbouw",Q28:Q29)</f>
        <v>0</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0.41176470588235292</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3462.3529411764707</v>
      </c>
      <c r="C49" s="627">
        <f t="shared" si="2"/>
        <v>0</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4946.2184873949582</v>
      </c>
      <c r="C50" s="630">
        <f t="shared" si="3"/>
        <v>0</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2021-06-29T14:32:48Z</dcterms:modified>
</cp:coreProperties>
</file>