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S33" i="18"/>
  <c r="R33" i="18"/>
  <c r="Q33" i="18"/>
  <c r="P33" i="18"/>
  <c r="O33" i="18"/>
  <c r="N33" i="18"/>
  <c r="M33" i="18"/>
  <c r="W32" i="18"/>
  <c r="V32" i="18"/>
  <c r="U32" i="18"/>
  <c r="T32" i="18"/>
  <c r="S32" i="18"/>
  <c r="R32" i="18"/>
  <c r="Q32" i="18"/>
  <c r="P32" i="18"/>
  <c r="O32" i="18"/>
  <c r="C13" i="15" s="1"/>
  <c r="N32" i="18"/>
  <c r="M32" i="18"/>
  <c r="W31" i="18"/>
  <c r="V31" i="18"/>
  <c r="U31" i="18"/>
  <c r="T31" i="18"/>
  <c r="S31" i="18"/>
  <c r="F16" i="16" s="1"/>
  <c r="R31" i="18"/>
  <c r="Q31" i="18"/>
  <c r="P31" i="18"/>
  <c r="D16" i="16" s="1"/>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P5" i="13"/>
  <c r="P8" i="13" s="1"/>
  <c r="B37" i="13"/>
  <c r="D6" i="17"/>
  <c r="B36" i="13"/>
  <c r="B35" i="13"/>
  <c r="C35" i="13" s="1"/>
  <c r="B34" i="13"/>
  <c r="B33" i="13"/>
  <c r="B32" i="13"/>
  <c r="C34" i="13"/>
  <c r="B13" i="15"/>
  <c r="F6" i="17"/>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7"/>
  <c r="C12" i="17" s="1"/>
  <c r="D54" i="14" s="1"/>
  <c r="D56" i="14" s="1"/>
  <c r="C10" i="13"/>
  <c r="C12" i="13" s="1"/>
  <c r="C29" i="20"/>
  <c r="C17" i="19"/>
  <c r="C19" i="19" s="1"/>
  <c r="D39" i="14" s="1"/>
  <c r="C20" i="16"/>
  <c r="C22" i="16" s="1"/>
  <c r="D43" i="14" s="1"/>
  <c r="C17" i="49"/>
  <c r="C22" i="59"/>
  <c r="C18" i="15"/>
  <c r="C20" i="15" s="1"/>
  <c r="D40" i="14" s="1"/>
  <c r="F26" i="48"/>
  <c r="F33" i="48" s="1"/>
  <c r="B90" i="14"/>
  <c r="B17" i="59"/>
  <c r="B20" i="59" s="1"/>
  <c r="C90" i="14"/>
  <c r="C17" i="59"/>
  <c r="C20" i="59" s="1"/>
  <c r="J26" i="48"/>
  <c r="J33" i="48" s="1"/>
  <c r="J15" i="48"/>
  <c r="E15" i="48"/>
  <c r="D41" i="14"/>
  <c r="O46" i="14"/>
  <c r="O61" i="14" s="1"/>
  <c r="O63" i="14" s="1"/>
  <c r="K46" i="14"/>
  <c r="K61" i="14" s="1"/>
  <c r="K63" i="14" s="1"/>
  <c r="F16" i="14"/>
  <c r="R13" i="14"/>
  <c r="R16" i="14" s="1"/>
  <c r="R27" i="14" s="1"/>
  <c r="Q8" i="48"/>
  <c r="Q15" i="48" s="1"/>
  <c r="D46" i="14" l="1"/>
  <c r="D61" i="14" s="1"/>
  <c r="D63" i="14" s="1"/>
  <c r="C17" i="48"/>
  <c r="C24" i="48" s="1"/>
  <c r="C28" i="48"/>
  <c r="C30" i="48"/>
  <c r="C27" i="48"/>
  <c r="C29" i="48"/>
  <c r="C32" i="48"/>
  <c r="C25" i="48"/>
  <c r="C26" i="48"/>
  <c r="C22" i="48"/>
  <c r="C23" i="48"/>
  <c r="F27" i="14"/>
  <c r="F63" i="14" s="1"/>
  <c r="C78" i="14"/>
  <c r="B78" i="14"/>
  <c r="C31" i="48" l="1"/>
  <c r="B4" i="6"/>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<sst xmlns="http://schemas.openxmlformats.org/spreadsheetml/2006/main" count="2462" uniqueCount="890">
  <si>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</si>
  <si>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</si>
  <si>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</si>
  <si>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</si>
  <si>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</si>
  <si>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</si>
  <si>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</si>
  <si>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</si>
  <si>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</si>
  <si>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</si>
  <si>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</si>
  <si>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</si>
  <si>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</si>
  <si>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</si>
  <si>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</si>
  <si>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</si>
  <si>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</si>
  <si>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</si>
  <si>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</si>
  <si>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</si>
  <si>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</si>
  <si>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</si>
  <si>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</si>
  <si>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</si>
  <si>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</si>
  <si>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</si>
  <si>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</si>
  <si>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</si>
  <si>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</si>
  <si>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</si>
  <si>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</si>
  <si>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</si>
  <si>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</si>
  <si>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</si>
  <si>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</si>
  <si>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</si>
  <si>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</si>
  <si>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</si>
  <si>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</si>
  <si>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</si>
  <si>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</si>
  <si>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</si>
  <si>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</si>
  <si>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</si>
  <si>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</si>
  <si>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</si>
  <si>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</si>
  <si>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</si>
  <si>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</si>
  <si>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</si>
  <si>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</si>
  <si>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</si>
  <si>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</si>
  <si>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</si>
  <si>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</si>
  <si>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</si>
  <si>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</si>
  <si>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</si>
  <si>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</si>
  <si>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</si>
  <si>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</si>
  <si>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</si>
  <si>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</si>
  <si>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</si>
  <si>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</si>
  <si>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</si>
  <si>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</si>
  <si>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</si>
  <si>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</si>
  <si>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</si>
  <si>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</si>
  <si>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</si>
  <si>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</si>
  <si>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</si>
  <si>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</si>
  <si>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</si>
  <si>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</si>
  <si>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</si>
  <si>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</si>
  <si>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</si>
  <si>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</si>
  <si>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</si>
  <si>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</si>
  <si>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</si>
  <si>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</si>
  <si>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</si>
  <si>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</si>
  <si>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</si>
  <si>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</si>
  <si>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</si>
  <si>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</si>
  <si>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</si>
  <si>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</si>
  <si>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</si>
  <si>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</si>
  <si>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</si>
  <si>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</si>
  <si>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</si>
  <si>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</si>
  <si>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</si>
  <si>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</si>
  <si>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</si>
  <si>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</si>
  <si>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</si>
  <si>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</si>
  <si>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</si>
  <si>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</si>
  <si>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</si>
  <si>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</si>
  <si>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</si>
  <si>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</si>
  <si>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</si>
  <si>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</si>
  <si>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</si>
  <si>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</si>
  <si>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</si>
  <si>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</si>
  <si>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</si>
  <si>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</si>
  <si>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</si>
  <si>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</si>
  <si>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</si>
  <si>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</si>
  <si>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</si>
  <si>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</si>
  <si>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</si>
  <si>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</si>
  <si>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</si>
  <si>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</si>
  <si>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</si>
  <si>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</si>
  <si>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</si>
  <si>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</si>
  <si>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</si>
  <si>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</si>
  <si>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</si>
  <si>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</si>
  <si>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</si>
  <si>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</si>
  <si>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</si>
  <si>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</si>
  <si>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</si>
  <si>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</si>
  <si>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</si>
  <si>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</si>
  <si>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</si>
  <si>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</si>
  <si>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</si>
  <si>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</si>
  <si>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</si>
  <si>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</si>
  <si>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</si>
  <si>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</si>
  <si>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</si>
  <si>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</si>
  <si>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</si>
  <si>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</si>
  <si>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</si>
  <si>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</si>
  <si>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</si>
  <si>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</si>
  <si>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</si>
  <si>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</si>
  <si>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</si>
  <si>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</si>
  <si>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</si>
  <si>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</si>
  <si>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</si>
  <si>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</si>
  <si>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</si>
  <si>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</si>
  <si>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</si>
  <si>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</si>
  <si>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</si>
  <si>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</si>
  <si>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</si>
  <si>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</si>
  <si>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</si>
  <si>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</si>
  <si>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</si>
  <si>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</si>
  <si>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</si>
  <si>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</si>
  <si>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</si>
  <si>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</si>
  <si>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</si>
  <si>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</si>
  <si>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</si>
  <si>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</si>
  <si>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</si>
  <si>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</si>
  <si>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</si>
  <si>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</si>
  <si>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</si>
  <si>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</si>
  <si>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</si>
  <si>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</si>
  <si>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</si>
  <si>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</si>
  <si>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</si>
  <si>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</si>
  <si>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</si>
  <si>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</si>
  <si>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</si>
  <si>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</si>
  <si>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</si>
  <si>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</si>
  <si>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</si>
  <si>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</si>
  <si>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</si>
  <si>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</si>
  <si>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</si>
  <si>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</si>
  <si>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</si>
  <si>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</si>
  <si>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</si>
  <si>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</si>
  <si>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</si>
  <si>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</si>
  <si>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</si>
  <si>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</si>
  <si>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</si>
  <si>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</si>
  <si>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</si>
  <si>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</si>
  <si>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</si>
  <si>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</si>
  <si>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</si>
  <si>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</si>
  <si>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</si>
  <si>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</si>
  <si>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</si>
  <si>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</si>
  <si>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</si>
  <si>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</si>
  <si>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</si>
  <si>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</si>
  <si>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</si>
  <si>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</si>
  <si>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</si>
  <si>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</si>
  <si>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</si>
  <si>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</si>
  <si>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</si>
  <si>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</si>
  <si>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</si>
  <si>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</si>
  <si>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</si>
  <si>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</si>
  <si>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</si>
  <si>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</si>
  <si>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</si>
  <si>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</si>
  <si>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</si>
  <si>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</si>
  <si>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</si>
  <si>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</si>
  <si>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</si>
  <si>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</si>
  <si>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</si>
  <si>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</si>
  <si>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</si>
  <si>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</si>
  <si>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</si>
  <si>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</si>
  <si>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</si>
  <si>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</si>
  <si>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</si>
  <si>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</si>
  <si>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</si>
  <si>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</si>
  <si>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</si>
  <si>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</si>
  <si>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</si>
  <si>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</si>
  <si>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</si>
  <si>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</si>
  <si>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</si>
  <si>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</si>
  <si>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</si>
  <si>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</si>
  <si>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</si>
  <si>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</si>
  <si>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</si>
  <si>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</si>
  <si>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</si>
  <si>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</si>
  <si>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</si>
  <si>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</si>
  <si>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</si>
  <si>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</si>
  <si>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</si>
  <si>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</si>
  <si>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</si>
  <si>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</si>
  <si>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</si>
  <si>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</si>
  <si>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</si>
  <si>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</si>
  <si>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</si>
  <si>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</si>
  <si>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</si>
  <si>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</si>
  <si>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</si>
  <si>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</si>
  <si>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</si>
  <si>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</si>
  <si>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</si>
  <si>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</si>
  <si>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</si>
  <si>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</si>
  <si>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</si>
  <si>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</si>
  <si>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</si>
  <si>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</si>
  <si>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</si>
  <si>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</si>
  <si>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</si>
  <si>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</si>
  <si>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</si>
  <si>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</si>
  <si>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</si>
  <si>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</si>
  <si>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</si>
  <si>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</si>
  <si>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</si>
  <si>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</si>
  <si>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</si>
  <si>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</si>
  <si>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</si>
  <si>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</si>
  <si>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</si>
  <si>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</si>
  <si>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</si>
  <si>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</si>
  <si>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</si>
  <si>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</si>
  <si>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</si>
  <si>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</si>
  <si>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</si>
  <si>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</si>
  <si>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</si>
  <si>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</si>
  <si>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</si>
  <si>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</si>
  <si>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</si>
  <si>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</si>
  <si>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</si>
  <si>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</si>
  <si>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</si>
  <si>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</si>
  <si>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</si>
  <si>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</si>
  <si>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</si>
  <si>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</si>
  <si>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</si>
  <si>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</si>
  <si>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</si>
  <si>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</si>
  <si>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</si>
  <si>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</si>
  <si>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</si>
  <si>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</si>
  <si>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</si>
  <si>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</si>
  <si>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</si>
  <si>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</si>
  <si>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</si>
  <si>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</si>
  <si>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</si>
  <si>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</si>
  <si>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</si>
  <si>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</si>
  <si>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</si>
  <si>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</si>
  <si>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</si>
  <si>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</si>
  <si>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</si>
  <si>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</si>
  <si>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</si>
  <si>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</si>
  <si>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</si>
  <si>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</si>
  <si>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</si>
  <si>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</si>
  <si>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</si>
  <si>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</si>
  <si>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</si>
  <si>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</si>
  <si>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</si>
  <si>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</si>
  <si>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</si>
  <si>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</si>
  <si>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</si>
  <si>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</si>
  <si>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</si>
  <si>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</si>
  <si>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</si>
  <si>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</si>
  <si>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</si>
  <si>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</si>
  <si>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</si>
  <si>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</si>
  <si>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</si>
  <si>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</si>
  <si>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</si>
  <si>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</si>
  <si>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</si>
  <si>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</si>
  <si>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</si>
  <si>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</si>
  <si>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</si>
  <si>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</si>
  <si>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</si>
  <si>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</si>
  <si>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</si>
  <si>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</si>
  <si>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</si>
  <si>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</si>
  <si>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</si>
  <si>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</si>
  <si>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</si>
  <si>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</si>
  <si>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</si>
  <si>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</si>
  <si>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</si>
  <si>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</si>
  <si>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</si>
  <si>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</si>
  <si>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</si>
  <si>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</si>
  <si>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</si>
  <si>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</si>
  <si>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</si>
  <si>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</si>
  <si>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</si>
  <si>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</si>
  <si>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</si>
  <si>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</si>
  <si>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</si>
  <si>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</si>
  <si>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</si>
  <si>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</si>
  <si>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</si>
  <si>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</si>
  <si>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</si>
  <si>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</si>
  <si>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</si>
  <si>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</si>
  <si>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</si>
  <si>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</si>
  <si>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</si>
  <si>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</si>
  <si>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</si>
  <si>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</si>
  <si>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</si>
  <si>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</si>
  <si>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</si>
  <si>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</si>
  <si>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</si>
  <si>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</si>
  <si>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</si>
  <si>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</si>
  <si>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</si>
  <si>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</si>
  <si>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</si>
  <si>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</si>
  <si>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</si>
  <si>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</si>
  <si>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</si>
  <si>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</si>
  <si>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</si>
  <si>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</si>
  <si>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</si>
  <si>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</si>
  <si>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</si>
  <si>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</si>
  <si>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</si>
  <si>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</si>
  <si>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</si>
  <si>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</si>
  <si>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</si>
  <si>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</si>
  <si>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</si>
  <si>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</si>
  <si>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</si>
  <si>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</si>
  <si>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</si>
  <si>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</si>
  <si>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</si>
  <si>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</si>
  <si>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</si>
  <si>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</si>
  <si>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</si>
  <si>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</si>
  <si>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</si>
  <si>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</si>
  <si>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</si>
  <si>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</si>
  <si>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</si>
  <si>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</si>
  <si>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</si>
  <si>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</si>
  <si>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</si>
  <si>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</si>
  <si>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</si>
  <si>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</si>
  <si>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</si>
  <si>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</si>
  <si>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</si>
  <si>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</si>
  <si>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</si>
  <si>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</si>
  <si>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</si>
  <si>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</si>
  <si>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</si>
  <si>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</si>
  <si>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</si>
  <si>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</si>
  <si>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</si>
  <si>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</si>
  <si>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</si>
  <si>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</si>
  <si>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</si>
  <si>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</si>
  <si>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</si>
  <si>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</si>
  <si>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</si>
  <si>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</si>
  <si>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</si>
  <si>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</si>
  <si>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</si>
  <si>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</si>
  <si>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</si>
  <si>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</si>
  <si>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</si>
  <si>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</si>
  <si>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</si>
  <si>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</si>
  <si>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</si>
  <si>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</si>
  <si>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</si>
  <si>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</si>
  <si>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</si>
  <si>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</si>
  <si>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</si>
  <si>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</si>
  <si>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</si>
  <si>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</si>
  <si>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</si>
  <si>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</si>
  <si>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</si>
  <si>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</si>
  <si>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</si>
  <si>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</si>
  <si>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</si>
  <si>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</si>
  <si>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</si>
  <si>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</si>
  <si>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</si>
  <si>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</si>
  <si>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</si>
  <si>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</si>
  <si>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</si>
  <si>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</si>
  <si>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</si>
  <si>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</si>
  <si>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</si>
  <si>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</si>
  <si>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</si>
  <si>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</si>
  <si>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</si>
  <si>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</si>
  <si>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</si>
  <si>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</si>
  <si>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</si>
  <si>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</si>
  <si>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</si>
  <si>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</si>
  <si>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</si>
  <si>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</si>
  <si>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</si>
  <si>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</si>
  <si>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</si>
  <si>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</si>
  <si>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</si>
  <si>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</si>
  <si>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</si>
  <si>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</si>
  <si>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</si>
  <si>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</si>
  <si>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</si>
  <si>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</si>
  <si>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</si>
  <si>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</si>
  <si>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</si>
  <si>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</si>
  <si>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</si>
  <si>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</si>
  <si>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</si>
  <si>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</si>
  <si>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</si>
  <si>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</si>
  <si>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</si>
  <si>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</si>
  <si>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</si>
  <si>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</si>
  <si>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</si>
  <si>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</si>
  <si>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</si>
  <si>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</si>
  <si>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</si>
  <si>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</si>
  <si>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</si>
  <si>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</si>
  <si>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</si>
  <si>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</si>
  <si>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</si>
  <si>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</si>
  <si>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</si>
  <si>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</si>
  <si>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</si>
  <si>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</si>
  <si>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</si>
  <si>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</si>
  <si>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</si>
  <si>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</si>
  <si>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</si>
  <si>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</si>
  <si>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</si>
  <si>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</si>
  <si>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</si>
  <si>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</si>
  <si>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</si>
  <si>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</si>
  <si>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</si>
  <si>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</si>
  <si>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</si>
  <si>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</si>
  <si>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</si>
  <si>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</si>
  <si>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</si>
  <si>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</si>
  <si>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</si>
  <si>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</si>
  <si>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</si>
  <si>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</si>
  <si>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</si>
  <si>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</si>
  <si>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</si>
  <si>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</si>
  <si>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</si>
  <si>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</si>
  <si>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</si>
  <si>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</si>
  <si>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</si>
  <si>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</si>
  <si>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</si>
  <si>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</si>
  <si>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</si>
  <si>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</si>
  <si>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</si>
  <si>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</si>
  <si>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</si>
  <si>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</si>
  <si>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</si>
  <si>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</si>
  <si>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</si>
  <si>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</si>
  <si>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</si>
  <si>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</si>
  <si>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</si>
  <si>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</si>
  <si>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</si>
  <si>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</si>
  <si>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</si>
  <si>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</si>
  <si>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</si>
  <si>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</si>
  <si>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</si>
  <si>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</si>
  <si>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</si>
  <si>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</si>
  <si>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</si>
  <si>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</si>
  <si>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</si>
  <si>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</si>
  <si>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</si>
  <si>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</si>
  <si>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</si>
  <si>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</si>
  <si>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</si>
  <si>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</si>
  <si>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</si>
  <si>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</si>
  <si>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</si>
  <si>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</si>
  <si>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</si>
  <si>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</si>
  <si>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</si>
  <si>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</si>
  <si>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</si>
  <si>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</si>
  <si>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</si>
  <si>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</si>
  <si>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</si>
  <si>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</si>
  <si>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</si>
  <si>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</si>
  <si>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</si>
  <si>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</si>
  <si>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</si>
  <si>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</si>
  <si>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</si>
  <si>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</si>
  <si>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</si>
  <si>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</si>
  <si>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</si>
  <si>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</si>
  <si>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</si>
  <si>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</si>
  <si>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</si>
  <si>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</si>
  <si>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</si>
  <si>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</si>
  <si>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</si>
  <si>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</si>
  <si>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</si>
  <si>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</si>
  <si>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</si>
  <si>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</si>
  <si>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</si>
  <si>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</si>
  <si>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</si>
  <si>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</si>
  <si>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</si>
  <si>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</si>
  <si>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</si>
  <si>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</si>
  <si>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</si>
  <si>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</si>
  <si>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</si>
  <si>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</si>
  <si>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</si>
  <si>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</si>
  <si>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</si>
  <si>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</si>
  <si>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</si>
  <si>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</si>
  <si>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</si>
  <si>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</si>
  <si>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</si>
  <si>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</si>
  <si>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</si>
  <si>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</si>
  <si>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</si>
  <si>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</si>
  <si>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</si>
  <si>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</si>
  <si>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</si>
  <si>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</si>
  <si>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</si>
  <si>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</si>
  <si>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</si>
  <si>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</si>
  <si>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</si>
  <si>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</si>
  <si>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</si>
  <si>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</si>
  <si>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</si>
  <si>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</si>
  <si>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</si>
  <si>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</si>
  <si>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</si>
  <si>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</si>
  <si>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</si>
  <si>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</si>
  <si>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</si>
  <si>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</si>
  <si>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</si>
  <si>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</si>
  <si>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</si>
  <si>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</si>
  <si>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</si>
  <si>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</si>
  <si>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</si>
  <si>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</si>
  <si>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</si>
  <si>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</si>
  <si>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</si>
  <si>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</si>
  <si>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</si>
  <si>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</si>
  <si>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</si>
  <si>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</si>
  <si>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</si>
  <si>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</si>
  <si>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</si>
  <si>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</si>
  <si>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</si>
  <si>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</si>
  <si>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</si>
  <si>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</si>
  <si>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</si>
  <si>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</si>
  <si>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</si>
  <si>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</si>
  <si>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</si>
  <si>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</si>
  <si>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</si>
  <si>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</si>
  <si>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</si>
  <si>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</si>
  <si>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</si>
  <si>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</si>
  <si>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</si>
  <si>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</si>
  <si>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</si>
  <si>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</si>
  <si>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</si>
  <si>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</si>
  <si>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</si>
  <si>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</si>
  <si>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</si>
  <si>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</si>
  <si>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</si>
  <si>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</si>
  <si>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</si>
  <si>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</si>
  <si>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</si>
  <si>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</si>
  <si>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</si>
  <si>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</si>
  <si>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</si>
  <si>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</si>
  <si>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</si>
  <si>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</si>
  <si>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</si>
  <si>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</si>
  <si>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</si>
  <si>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</si>
  <si>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</si>
  <si>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</si>
  <si>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</si>
  <si>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</si>
  <si>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</si>
  <si>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</si>
  <si>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</si>
  <si>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</si>
  <si>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</si>
  <si>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</si>
  <si>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</si>
  <si>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</si>
  <si>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</si>
  <si>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</si>
  <si>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</si>
  <si>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</si>
  <si>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</si>
  <si>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</si>
  <si>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</si>
  <si>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</si>
  <si>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</si>
  <si>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</si>
  <si>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</si>
  <si>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</si>
  <si>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</si>
  <si>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</si>
  <si>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</si>
  <si>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</si>
  <si>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</si>
  <si>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</si>
  <si>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</si>
  <si>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</si>
  <si>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</si>
  <si>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</si>
  <si>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</si>
  <si>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</si>
  <si>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</si>
  <si>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</si>
  <si>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37015</t>
  </si>
  <si>
    <t>TIELT</t>
  </si>
  <si>
    <t>referentietaak LNE (2017); Jaarverslag De Lijn</t>
  </si>
  <si>
    <t>waterkracht</t>
  </si>
  <si>
    <t>WKK-0759 Steven De Cloedt</t>
  </si>
  <si>
    <t>Biogas - hoofdzakelijk agrarische stromen</t>
  </si>
  <si>
    <t>WKK interne verbrandinsgmotor (gas)</t>
  </si>
  <si>
    <t>Hoogserleistraat 6 , 8700 Tielt</t>
  </si>
  <si>
    <t>GASELWEST</t>
  </si>
  <si>
    <t>WKK-0761 Koen Verbeke</t>
  </si>
  <si>
    <t>Axpoelmolenstraat 5 , 8700 Kanegem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</si>
</sst>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166229.71031858938</c:v>
                </c:pt>
                <c:pt idx="1">
                  <c:v>86117.76723490635</c:v>
                </c:pt>
                <c:pt idx="2">
                  <c:v>1428.5609999999999</c:v>
                </c:pt>
                <c:pt idx="3">
                  <c:v>65768.452997958244</c:v>
                </c:pt>
                <c:pt idx="4">
                  <c:v>380189.86714370304</c:v>
                </c:pt>
                <c:pt idx="5">
                  <c:v>154679.67123989749</c:v>
                </c:pt>
                <c:pt idx="6">
                  <c:v>1199.3556419940126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166229.71031858938</c:v>
                </c:pt>
                <c:pt idx="1">
                  <c:v>86117.76723490635</c:v>
                </c:pt>
                <c:pt idx="2">
                  <c:v>1428.5609999999999</c:v>
                </c:pt>
                <c:pt idx="3">
                  <c:v>65768.452997958244</c:v>
                </c:pt>
                <c:pt idx="4">
                  <c:v>380189.86714370304</c:v>
                </c:pt>
                <c:pt idx="5">
                  <c:v>154679.67123989749</c:v>
                </c:pt>
                <c:pt idx="6">
                  <c:v>1199.3556419940126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33928.940697373124</c:v>
                </c:pt>
                <c:pt idx="1">
                  <c:v>17542.036371264672</c:v>
                </c:pt>
                <c:pt idx="2">
                  <c:v>293.69009030943744</c:v>
                </c:pt>
                <c:pt idx="3">
                  <c:v>16917.088337524157</c:v>
                </c:pt>
                <c:pt idx="4">
                  <c:v>78789.369741772971</c:v>
                </c:pt>
                <c:pt idx="5">
                  <c:v>38529.953483458157</c:v>
                </c:pt>
                <c:pt idx="6">
                  <c:v>302.72515791332194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33928.940697373124</c:v>
                </c:pt>
                <c:pt idx="1">
                  <c:v>17542.036371264672</c:v>
                </c:pt>
                <c:pt idx="2">
                  <c:v>293.69009030943744</c:v>
                </c:pt>
                <c:pt idx="3">
                  <c:v>16917.088337524157</c:v>
                </c:pt>
                <c:pt idx="4">
                  <c:v>78789.369741772971</c:v>
                </c:pt>
                <c:pt idx="5">
                  <c:v>38529.953483458157</c:v>
                </c:pt>
                <c:pt idx="6">
                  <c:v>302.72515791332194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37015</v>
      </c>
      <c r="B6" s="386"/>
      <c r="C6" s="387"/>
    </row>
    <row r="7" spans="1:7" s="384" customFormat="1" ht="15.75" customHeight="1">
      <c r="A7" s="388" t="str">
        <f>txtMunicipality</f>
        <v>TIELT</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35945.356528116688</v>
      </c>
      <c r="D10" s="682">
        <f ca="1">tertiair!C16</f>
        <v>0</v>
      </c>
      <c r="E10" s="682">
        <f ca="1">tertiair!D16</f>
        <v>44554.606895508674</v>
      </c>
      <c r="F10" s="682">
        <f>tertiair!E16</f>
        <v>102.8357695471165</v>
      </c>
      <c r="G10" s="682">
        <f ca="1">tertiair!F16</f>
        <v>5327.8218564188692</v>
      </c>
      <c r="H10" s="682">
        <f>tertiair!G16</f>
        <v>0</v>
      </c>
      <c r="I10" s="682">
        <f>tertiair!H16</f>
        <v>0</v>
      </c>
      <c r="J10" s="682">
        <f>tertiair!I16</f>
        <v>0</v>
      </c>
      <c r="K10" s="682">
        <f>tertiair!J16</f>
        <v>3.7469634990820816E-2</v>
      </c>
      <c r="L10" s="682">
        <f>tertiair!K16</f>
        <v>0</v>
      </c>
      <c r="M10" s="682">
        <f ca="1">tertiair!L16</f>
        <v>0</v>
      </c>
      <c r="N10" s="682">
        <f>tertiair!M16</f>
        <v>0</v>
      </c>
      <c r="O10" s="682">
        <f ca="1">tertiair!N16</f>
        <v>1418.8742146337888</v>
      </c>
      <c r="P10" s="682">
        <f>tertiair!O16</f>
        <v>39.178086126729234</v>
      </c>
      <c r="Q10" s="683">
        <f>tertiair!P16</f>
        <v>157.61741491948504</v>
      </c>
      <c r="R10" s="685">
        <f ca="1">SUM(C10:Q10)</f>
        <v>87546.328234906352</v>
      </c>
      <c r="S10" s="67"/>
    </row>
    <row r="11" spans="1:19" s="445" customFormat="1">
      <c r="A11" s="803" t="s">
        <v>220</v>
      </c>
      <c r="B11" s="808"/>
      <c r="C11" s="682">
        <f>huishoudens!B8</f>
        <v>33338.626947039767</v>
      </c>
      <c r="D11" s="682">
        <f>huishoudens!C8</f>
        <v>0</v>
      </c>
      <c r="E11" s="682">
        <f>huishoudens!D8</f>
        <v>74060.112196904171</v>
      </c>
      <c r="F11" s="682">
        <f>huishoudens!E8</f>
        <v>1913.3309406538376</v>
      </c>
      <c r="G11" s="682">
        <f>huishoudens!F8</f>
        <v>43459.170544971843</v>
      </c>
      <c r="H11" s="682">
        <f>huishoudens!G8</f>
        <v>0</v>
      </c>
      <c r="I11" s="682">
        <f>huishoudens!H8</f>
        <v>0</v>
      </c>
      <c r="J11" s="682">
        <f>huishoudens!I8</f>
        <v>0</v>
      </c>
      <c r="K11" s="682">
        <f>huishoudens!J8</f>
        <v>217.41889783256258</v>
      </c>
      <c r="L11" s="682">
        <f>huishoudens!K8</f>
        <v>0</v>
      </c>
      <c r="M11" s="682">
        <f>huishoudens!L8</f>
        <v>0</v>
      </c>
      <c r="N11" s="682">
        <f>huishoudens!M8</f>
        <v>0</v>
      </c>
      <c r="O11" s="682">
        <f>huishoudens!N8</f>
        <v>11719.820335542012</v>
      </c>
      <c r="P11" s="682">
        <f>huishoudens!O8</f>
        <v>678.5137110303649</v>
      </c>
      <c r="Q11" s="683">
        <f>huishoudens!P8</f>
        <v>842.71674461480166</v>
      </c>
      <c r="R11" s="685">
        <f>SUM(C11:Q11)</f>
        <v>166229.71031858938</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145186.46031863944</v>
      </c>
      <c r="D13" s="682">
        <f>industrie!C18</f>
        <v>0</v>
      </c>
      <c r="E13" s="682">
        <f>industrie!D18</f>
        <v>186821.78081700313</v>
      </c>
      <c r="F13" s="682">
        <f>industrie!E18</f>
        <v>388.43888150514681</v>
      </c>
      <c r="G13" s="682">
        <f>industrie!F18</f>
        <v>41623.928855393191</v>
      </c>
      <c r="H13" s="682">
        <f>industrie!G18</f>
        <v>0</v>
      </c>
      <c r="I13" s="682">
        <f>industrie!H18</f>
        <v>0</v>
      </c>
      <c r="J13" s="682">
        <f>industrie!I18</f>
        <v>0</v>
      </c>
      <c r="K13" s="682">
        <f>industrie!J18</f>
        <v>4.2662295763145517</v>
      </c>
      <c r="L13" s="682">
        <f>industrie!K18</f>
        <v>0</v>
      </c>
      <c r="M13" s="682">
        <f>industrie!L18</f>
        <v>0</v>
      </c>
      <c r="N13" s="682">
        <f>industrie!M18</f>
        <v>0</v>
      </c>
      <c r="O13" s="682">
        <f>industrie!N18</f>
        <v>6164.992041585775</v>
      </c>
      <c r="P13" s="682">
        <f>industrie!O18</f>
        <v>0</v>
      </c>
      <c r="Q13" s="683">
        <f>industrie!P18</f>
        <v>0</v>
      </c>
      <c r="R13" s="685">
        <f>SUM(C13:Q13)</f>
        <v>380189.86714370304</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214470.44379379589</v>
      </c>
      <c r="D16" s="718">
        <f t="shared" ref="D16:R16" ca="1" si="0">SUM(D9:D15)</f>
        <v>0</v>
      </c>
      <c r="E16" s="718">
        <f t="shared" ca="1" si="0"/>
        <v>305436.49990941596</v>
      </c>
      <c r="F16" s="718">
        <f t="shared" si="0"/>
        <v>2404.6055917061012</v>
      </c>
      <c r="G16" s="718">
        <f t="shared" ca="1" si="0"/>
        <v>90410.921256783913</v>
      </c>
      <c r="H16" s="718">
        <f t="shared" si="0"/>
        <v>0</v>
      </c>
      <c r="I16" s="718">
        <f t="shared" si="0"/>
        <v>0</v>
      </c>
      <c r="J16" s="718">
        <f t="shared" si="0"/>
        <v>0</v>
      </c>
      <c r="K16" s="718">
        <f t="shared" si="0"/>
        <v>221.72259704386795</v>
      </c>
      <c r="L16" s="718">
        <f t="shared" si="0"/>
        <v>0</v>
      </c>
      <c r="M16" s="718">
        <f t="shared" ca="1" si="0"/>
        <v>0</v>
      </c>
      <c r="N16" s="718">
        <f t="shared" si="0"/>
        <v>0</v>
      </c>
      <c r="O16" s="718">
        <f t="shared" ca="1" si="0"/>
        <v>19303.686591761576</v>
      </c>
      <c r="P16" s="718">
        <f t="shared" si="0"/>
        <v>717.69179715709413</v>
      </c>
      <c r="Q16" s="718">
        <f t="shared" si="0"/>
        <v>1000.3341595342868</v>
      </c>
      <c r="R16" s="718">
        <f t="shared" ca="1" si="0"/>
        <v>633965.90569719882</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15.714909767873188</v>
      </c>
      <c r="D19" s="682">
        <f>transport!C54</f>
        <v>0</v>
      </c>
      <c r="E19" s="682">
        <f>transport!D54</f>
        <v>0</v>
      </c>
      <c r="F19" s="682">
        <f>transport!E54</f>
        <v>0</v>
      </c>
      <c r="G19" s="682">
        <f>transport!F54</f>
        <v>0</v>
      </c>
      <c r="H19" s="682">
        <f>transport!G54</f>
        <v>1121.7019289911873</v>
      </c>
      <c r="I19" s="682">
        <f>transport!H54</f>
        <v>0</v>
      </c>
      <c r="J19" s="682">
        <f>transport!I54</f>
        <v>0</v>
      </c>
      <c r="K19" s="682">
        <f>transport!J54</f>
        <v>0</v>
      </c>
      <c r="L19" s="682">
        <f>transport!K54</f>
        <v>0</v>
      </c>
      <c r="M19" s="682">
        <f>transport!L54</f>
        <v>0</v>
      </c>
      <c r="N19" s="682">
        <f>transport!M54</f>
        <v>61.938803234951976</v>
      </c>
      <c r="O19" s="682">
        <f>transport!N54</f>
        <v>0</v>
      </c>
      <c r="P19" s="682">
        <f>transport!O54</f>
        <v>0</v>
      </c>
      <c r="Q19" s="683">
        <f>transport!P54</f>
        <v>0</v>
      </c>
      <c r="R19" s="685">
        <f>SUM(C19:Q19)</f>
        <v>1199.3556419940126</v>
      </c>
      <c r="S19" s="67"/>
    </row>
    <row r="20" spans="1:19" s="445" customFormat="1">
      <c r="A20" s="803" t="s">
        <v>302</v>
      </c>
      <c r="B20" s="808"/>
      <c r="C20" s="682">
        <f>transport!B14</f>
        <v>220.88864230535438</v>
      </c>
      <c r="D20" s="682">
        <f>transport!C14</f>
        <v>0</v>
      </c>
      <c r="E20" s="682">
        <f>transport!D14</f>
        <v>410.12075222616227</v>
      </c>
      <c r="F20" s="682">
        <f>transport!E14</f>
        <v>225.03278533615321</v>
      </c>
      <c r="G20" s="682">
        <f>transport!F14</f>
        <v>0</v>
      </c>
      <c r="H20" s="682">
        <f>transport!G14</f>
        <v>120421.71430542276</v>
      </c>
      <c r="I20" s="682">
        <f>transport!H14</f>
        <v>24891.637086232666</v>
      </c>
      <c r="J20" s="682">
        <f>transport!I14</f>
        <v>0</v>
      </c>
      <c r="K20" s="682">
        <f>transport!J14</f>
        <v>0</v>
      </c>
      <c r="L20" s="682">
        <f>transport!K14</f>
        <v>0</v>
      </c>
      <c r="M20" s="682">
        <f>transport!L14</f>
        <v>0</v>
      </c>
      <c r="N20" s="682">
        <f>transport!M14</f>
        <v>8510.2776683743723</v>
      </c>
      <c r="O20" s="682">
        <f>transport!N14</f>
        <v>0</v>
      </c>
      <c r="P20" s="682">
        <f>transport!O14</f>
        <v>0</v>
      </c>
      <c r="Q20" s="683">
        <f>transport!P14</f>
        <v>0</v>
      </c>
      <c r="R20" s="685">
        <f>SUM(C20:Q20)</f>
        <v>154679.67123989749</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236.60355207322758</v>
      </c>
      <c r="D22" s="806">
        <f t="shared" ref="D22:R22" si="1">SUM(D18:D21)</f>
        <v>0</v>
      </c>
      <c r="E22" s="806">
        <f t="shared" si="1"/>
        <v>410.12075222616227</v>
      </c>
      <c r="F22" s="806">
        <f t="shared" si="1"/>
        <v>225.03278533615321</v>
      </c>
      <c r="G22" s="806">
        <f t="shared" si="1"/>
        <v>0</v>
      </c>
      <c r="H22" s="806">
        <f t="shared" si="1"/>
        <v>121543.41623441395</v>
      </c>
      <c r="I22" s="806">
        <f t="shared" si="1"/>
        <v>24891.637086232666</v>
      </c>
      <c r="J22" s="806">
        <f t="shared" si="1"/>
        <v>0</v>
      </c>
      <c r="K22" s="806">
        <f t="shared" si="1"/>
        <v>0</v>
      </c>
      <c r="L22" s="806">
        <f t="shared" si="1"/>
        <v>0</v>
      </c>
      <c r="M22" s="806">
        <f t="shared" si="1"/>
        <v>0</v>
      </c>
      <c r="N22" s="806">
        <f t="shared" si="1"/>
        <v>8572.2164716093248</v>
      </c>
      <c r="O22" s="806">
        <f t="shared" si="1"/>
        <v>0</v>
      </c>
      <c r="P22" s="806">
        <f t="shared" si="1"/>
        <v>0</v>
      </c>
      <c r="Q22" s="806">
        <f t="shared" si="1"/>
        <v>0</v>
      </c>
      <c r="R22" s="806">
        <f t="shared" si="1"/>
        <v>155879.02688189151</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14324.377646442801</v>
      </c>
      <c r="D24" s="682">
        <f>+landbouw!C8</f>
        <v>124.71428571428569</v>
      </c>
      <c r="E24" s="682">
        <f>+landbouw!D8</f>
        <v>551.1251154424549</v>
      </c>
      <c r="F24" s="682">
        <f>+landbouw!E8</f>
        <v>534.19985758148493</v>
      </c>
      <c r="G24" s="682">
        <f>+landbouw!F8</f>
        <v>46473.816242463785</v>
      </c>
      <c r="H24" s="682">
        <f>+landbouw!G8</f>
        <v>0</v>
      </c>
      <c r="I24" s="682">
        <f>+landbouw!H8</f>
        <v>0</v>
      </c>
      <c r="J24" s="682">
        <f>+landbouw!I8</f>
        <v>0</v>
      </c>
      <c r="K24" s="682">
        <f>+landbouw!J8</f>
        <v>3760.2198503134223</v>
      </c>
      <c r="L24" s="682">
        <f>+landbouw!K8</f>
        <v>0</v>
      </c>
      <c r="M24" s="682">
        <f>+landbouw!L8</f>
        <v>0</v>
      </c>
      <c r="N24" s="682">
        <f>+landbouw!M8</f>
        <v>0</v>
      </c>
      <c r="O24" s="682">
        <f>+landbouw!N8</f>
        <v>0</v>
      </c>
      <c r="P24" s="682">
        <f>+landbouw!O8</f>
        <v>0</v>
      </c>
      <c r="Q24" s="683">
        <f>+landbouw!P8</f>
        <v>0</v>
      </c>
      <c r="R24" s="685">
        <f>SUM(C24:Q24)</f>
        <v>65768.452997958244</v>
      </c>
      <c r="S24" s="67"/>
    </row>
    <row r="25" spans="1:19" s="445" customFormat="1" ht="15" thickBot="1">
      <c r="A25" s="825" t="s">
        <v>703</v>
      </c>
      <c r="B25" s="938"/>
      <c r="C25" s="939">
        <f>IF(Onbekend_ele_kWh="---",0,Onbekend_ele_kWh)/1000+IF(REST_rest_ele_kWh="---",0,REST_rest_ele_kWh)/1000</f>
        <v>903.10413186644598</v>
      </c>
      <c r="D25" s="939"/>
      <c r="E25" s="939">
        <f>IF(onbekend_gas_kWh="---",0,onbekend_gas_kWh)/1000+IF(REST_rest_gas_kWh="---",0,REST_rest_gas_kWh)/1000</f>
        <v>8123.8648401748796</v>
      </c>
      <c r="F25" s="939"/>
      <c r="G25" s="939"/>
      <c r="H25" s="939"/>
      <c r="I25" s="939"/>
      <c r="J25" s="939"/>
      <c r="K25" s="939"/>
      <c r="L25" s="939"/>
      <c r="M25" s="939"/>
      <c r="N25" s="939"/>
      <c r="O25" s="939"/>
      <c r="P25" s="939"/>
      <c r="Q25" s="940"/>
      <c r="R25" s="685">
        <f>SUM(C25:Q25)</f>
        <v>9026.9689720413262</v>
      </c>
      <c r="S25" s="67"/>
    </row>
    <row r="26" spans="1:19" s="445" customFormat="1" ht="15.75" thickBot="1">
      <c r="A26" s="690" t="s">
        <v>704</v>
      </c>
      <c r="B26" s="811"/>
      <c r="C26" s="806">
        <f>SUM(C24:C25)</f>
        <v>15227.481778309248</v>
      </c>
      <c r="D26" s="806">
        <f t="shared" ref="D26:R26" si="2">SUM(D24:D25)</f>
        <v>124.71428571428569</v>
      </c>
      <c r="E26" s="806">
        <f t="shared" si="2"/>
        <v>8674.989955617335</v>
      </c>
      <c r="F26" s="806">
        <f t="shared" si="2"/>
        <v>534.19985758148493</v>
      </c>
      <c r="G26" s="806">
        <f t="shared" si="2"/>
        <v>46473.816242463785</v>
      </c>
      <c r="H26" s="806">
        <f t="shared" si="2"/>
        <v>0</v>
      </c>
      <c r="I26" s="806">
        <f t="shared" si="2"/>
        <v>0</v>
      </c>
      <c r="J26" s="806">
        <f t="shared" si="2"/>
        <v>0</v>
      </c>
      <c r="K26" s="806">
        <f t="shared" si="2"/>
        <v>3760.2198503134223</v>
      </c>
      <c r="L26" s="806">
        <f t="shared" si="2"/>
        <v>0</v>
      </c>
      <c r="M26" s="806">
        <f t="shared" si="2"/>
        <v>0</v>
      </c>
      <c r="N26" s="806">
        <f t="shared" si="2"/>
        <v>0</v>
      </c>
      <c r="O26" s="806">
        <f t="shared" si="2"/>
        <v>0</v>
      </c>
      <c r="P26" s="806">
        <f t="shared" si="2"/>
        <v>0</v>
      </c>
      <c r="Q26" s="806">
        <f t="shared" si="2"/>
        <v>0</v>
      </c>
      <c r="R26" s="806">
        <f t="shared" si="2"/>
        <v>74795.421969999574</v>
      </c>
      <c r="S26" s="67"/>
    </row>
    <row r="27" spans="1:19" s="445" customFormat="1" ht="17.25" thickTop="1" thickBot="1">
      <c r="A27" s="691" t="s">
        <v>115</v>
      </c>
      <c r="B27" s="798"/>
      <c r="C27" s="692">
        <f ca="1">C22+C16+C26</f>
        <v>229934.52912417837</v>
      </c>
      <c r="D27" s="692">
        <f t="shared" ref="D27:R27" ca="1" si="3">D22+D16+D26</f>
        <v>124.71428571428569</v>
      </c>
      <c r="E27" s="692">
        <f t="shared" ca="1" si="3"/>
        <v>314521.61061725946</v>
      </c>
      <c r="F27" s="692">
        <f t="shared" si="3"/>
        <v>3163.8382346237395</v>
      </c>
      <c r="G27" s="692">
        <f t="shared" ca="1" si="3"/>
        <v>136884.73749924771</v>
      </c>
      <c r="H27" s="692">
        <f t="shared" si="3"/>
        <v>121543.41623441395</v>
      </c>
      <c r="I27" s="692">
        <f t="shared" si="3"/>
        <v>24891.637086232666</v>
      </c>
      <c r="J27" s="692">
        <f t="shared" si="3"/>
        <v>0</v>
      </c>
      <c r="K27" s="692">
        <f t="shared" si="3"/>
        <v>3981.9424473572903</v>
      </c>
      <c r="L27" s="692">
        <f t="shared" si="3"/>
        <v>0</v>
      </c>
      <c r="M27" s="692">
        <f t="shared" ca="1" si="3"/>
        <v>0</v>
      </c>
      <c r="N27" s="692">
        <f t="shared" si="3"/>
        <v>8572.2164716093248</v>
      </c>
      <c r="O27" s="692">
        <f t="shared" ca="1" si="3"/>
        <v>19303.686591761576</v>
      </c>
      <c r="P27" s="692">
        <f t="shared" si="3"/>
        <v>717.69179715709413</v>
      </c>
      <c r="Q27" s="692">
        <f t="shared" si="3"/>
        <v>1000.3341595342868</v>
      </c>
      <c r="R27" s="692">
        <f t="shared" ca="1" si="3"/>
        <v>864640.35454908991</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7389.8104490795404</v>
      </c>
      <c r="D40" s="682">
        <f ca="1">tertiair!C20</f>
        <v>0</v>
      </c>
      <c r="E40" s="682">
        <f ca="1">tertiair!D20</f>
        <v>9000.0305928927519</v>
      </c>
      <c r="F40" s="682">
        <f>tertiair!E20</f>
        <v>23.343719687195446</v>
      </c>
      <c r="G40" s="682">
        <f ca="1">tertiair!F20</f>
        <v>1422.5284356638381</v>
      </c>
      <c r="H40" s="682">
        <f>tertiair!G20</f>
        <v>0</v>
      </c>
      <c r="I40" s="682">
        <f>tertiair!H20</f>
        <v>0</v>
      </c>
      <c r="J40" s="682">
        <f>tertiair!I20</f>
        <v>0</v>
      </c>
      <c r="K40" s="682">
        <f>tertiair!J20</f>
        <v>1.3264250786750567E-2</v>
      </c>
      <c r="L40" s="682">
        <f>tertiair!K20</f>
        <v>0</v>
      </c>
      <c r="M40" s="682">
        <f ca="1">tertiair!L20</f>
        <v>0</v>
      </c>
      <c r="N40" s="682">
        <f>tertiair!M20</f>
        <v>0</v>
      </c>
      <c r="O40" s="682">
        <f ca="1">tertiair!N20</f>
        <v>0</v>
      </c>
      <c r="P40" s="682">
        <f>tertiair!O20</f>
        <v>0</v>
      </c>
      <c r="Q40" s="765">
        <f>tertiair!P20</f>
        <v>0</v>
      </c>
      <c r="R40" s="844">
        <f t="shared" ca="1" si="4"/>
        <v>17835.726461574111</v>
      </c>
    </row>
    <row r="41" spans="1:18">
      <c r="A41" s="816" t="s">
        <v>220</v>
      </c>
      <c r="B41" s="823"/>
      <c r="C41" s="682">
        <f ca="1">huishoudens!B12</f>
        <v>6853.9070847298462</v>
      </c>
      <c r="D41" s="682">
        <f ca="1">huishoudens!C12</f>
        <v>0</v>
      </c>
      <c r="E41" s="682">
        <f>huishoudens!D12</f>
        <v>14960.142663774643</v>
      </c>
      <c r="F41" s="682">
        <f>huishoudens!E12</f>
        <v>434.32612352842114</v>
      </c>
      <c r="G41" s="682">
        <f>huishoudens!F12</f>
        <v>11603.598535507483</v>
      </c>
      <c r="H41" s="682">
        <f>huishoudens!G12</f>
        <v>0</v>
      </c>
      <c r="I41" s="682">
        <f>huishoudens!H12</f>
        <v>0</v>
      </c>
      <c r="J41" s="682">
        <f>huishoudens!I12</f>
        <v>0</v>
      </c>
      <c r="K41" s="682">
        <f>huishoudens!J12</f>
        <v>76.966289832727142</v>
      </c>
      <c r="L41" s="682">
        <f>huishoudens!K12</f>
        <v>0</v>
      </c>
      <c r="M41" s="682">
        <f>huishoudens!L12</f>
        <v>0</v>
      </c>
      <c r="N41" s="682">
        <f>huishoudens!M12</f>
        <v>0</v>
      </c>
      <c r="O41" s="682">
        <f>huishoudens!N12</f>
        <v>0</v>
      </c>
      <c r="P41" s="682">
        <f>huishoudens!O12</f>
        <v>0</v>
      </c>
      <c r="Q41" s="765">
        <f>huishoudens!P12</f>
        <v>0</v>
      </c>
      <c r="R41" s="844">
        <f t="shared" ca="1" si="4"/>
        <v>33928.940697373124</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29848.095140976671</v>
      </c>
      <c r="D43" s="682">
        <f ca="1">industrie!C22</f>
        <v>0</v>
      </c>
      <c r="E43" s="682">
        <f>industrie!D22</f>
        <v>37737.999725034635</v>
      </c>
      <c r="F43" s="682">
        <f>industrie!E22</f>
        <v>88.175626101668328</v>
      </c>
      <c r="G43" s="682">
        <f>industrie!F22</f>
        <v>11113.589004389984</v>
      </c>
      <c r="H43" s="682">
        <f>industrie!G22</f>
        <v>0</v>
      </c>
      <c r="I43" s="682">
        <f>industrie!H22</f>
        <v>0</v>
      </c>
      <c r="J43" s="682">
        <f>industrie!I22</f>
        <v>0</v>
      </c>
      <c r="K43" s="682">
        <f>industrie!J22</f>
        <v>1.5102452700153512</v>
      </c>
      <c r="L43" s="682">
        <f>industrie!K22</f>
        <v>0</v>
      </c>
      <c r="M43" s="682">
        <f>industrie!L22</f>
        <v>0</v>
      </c>
      <c r="N43" s="682">
        <f>industrie!M22</f>
        <v>0</v>
      </c>
      <c r="O43" s="682">
        <f>industrie!N22</f>
        <v>0</v>
      </c>
      <c r="P43" s="682">
        <f>industrie!O22</f>
        <v>0</v>
      </c>
      <c r="Q43" s="765">
        <f>industrie!P22</f>
        <v>0</v>
      </c>
      <c r="R43" s="843">
        <f t="shared" ca="1" si="4"/>
        <v>78789.369741772971</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44091.812674786059</v>
      </c>
      <c r="D46" s="718">
        <f t="shared" ref="D46:Q46" ca="1" si="5">SUM(D39:D45)</f>
        <v>0</v>
      </c>
      <c r="E46" s="718">
        <f t="shared" ca="1" si="5"/>
        <v>61698.172981702031</v>
      </c>
      <c r="F46" s="718">
        <f t="shared" si="5"/>
        <v>545.84546931728494</v>
      </c>
      <c r="G46" s="718">
        <f t="shared" ca="1" si="5"/>
        <v>24139.715975561303</v>
      </c>
      <c r="H46" s="718">
        <f t="shared" si="5"/>
        <v>0</v>
      </c>
      <c r="I46" s="718">
        <f t="shared" si="5"/>
        <v>0</v>
      </c>
      <c r="J46" s="718">
        <f t="shared" si="5"/>
        <v>0</v>
      </c>
      <c r="K46" s="718">
        <f t="shared" si="5"/>
        <v>78.489799353529236</v>
      </c>
      <c r="L46" s="718">
        <f t="shared" si="5"/>
        <v>0</v>
      </c>
      <c r="M46" s="718">
        <f t="shared" ca="1" si="5"/>
        <v>0</v>
      </c>
      <c r="N46" s="718">
        <f t="shared" si="5"/>
        <v>0</v>
      </c>
      <c r="O46" s="718">
        <f t="shared" ca="1" si="5"/>
        <v>0</v>
      </c>
      <c r="P46" s="718">
        <f t="shared" si="5"/>
        <v>0</v>
      </c>
      <c r="Q46" s="718">
        <f t="shared" si="5"/>
        <v>0</v>
      </c>
      <c r="R46" s="718">
        <f ca="1">SUM(R39:R45)</f>
        <v>130554.03690072021</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3.2307428726749068</v>
      </c>
      <c r="D49" s="682">
        <f ca="1">transport!C58</f>
        <v>0</v>
      </c>
      <c r="E49" s="682">
        <f>transport!D58</f>
        <v>0</v>
      </c>
      <c r="F49" s="682">
        <f>transport!E58</f>
        <v>0</v>
      </c>
      <c r="G49" s="682">
        <f>transport!F58</f>
        <v>0</v>
      </c>
      <c r="H49" s="682">
        <f>transport!G58</f>
        <v>299.49441504064703</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302.72515791332194</v>
      </c>
    </row>
    <row r="50" spans="1:18">
      <c r="A50" s="819" t="s">
        <v>302</v>
      </c>
      <c r="B50" s="829"/>
      <c r="C50" s="688">
        <f ca="1">transport!B18</f>
        <v>45.411295217347075</v>
      </c>
      <c r="D50" s="688">
        <f>transport!C18</f>
        <v>0</v>
      </c>
      <c r="E50" s="688">
        <f>transport!D18</f>
        <v>82.844391949684777</v>
      </c>
      <c r="F50" s="688">
        <f>transport!E18</f>
        <v>51.082442271306782</v>
      </c>
      <c r="G50" s="688">
        <f>transport!F18</f>
        <v>0</v>
      </c>
      <c r="H50" s="688">
        <f>transport!G18</f>
        <v>32152.597719547881</v>
      </c>
      <c r="I50" s="688">
        <f>transport!H18</f>
        <v>6198.0176344719339</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38529.953483458157</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48.642038090021984</v>
      </c>
      <c r="D52" s="718">
        <f t="shared" ref="D52:Q52" ca="1" si="6">SUM(D48:D51)</f>
        <v>0</v>
      </c>
      <c r="E52" s="718">
        <f t="shared" si="6"/>
        <v>82.844391949684777</v>
      </c>
      <c r="F52" s="718">
        <f t="shared" si="6"/>
        <v>51.082442271306782</v>
      </c>
      <c r="G52" s="718">
        <f t="shared" si="6"/>
        <v>0</v>
      </c>
      <c r="H52" s="718">
        <f t="shared" si="6"/>
        <v>32452.092134588529</v>
      </c>
      <c r="I52" s="718">
        <f t="shared" si="6"/>
        <v>6198.0176344719339</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38832.67864137148</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2944.8709327850006</v>
      </c>
      <c r="D54" s="688">
        <f ca="1">+landbouw!C12</f>
        <v>0</v>
      </c>
      <c r="E54" s="688">
        <f>+landbouw!D12</f>
        <v>111.32727331937589</v>
      </c>
      <c r="F54" s="688">
        <f>+landbouw!E12</f>
        <v>121.26336767099708</v>
      </c>
      <c r="G54" s="688">
        <f>+landbouw!F12</f>
        <v>12408.508936737831</v>
      </c>
      <c r="H54" s="688">
        <f>+landbouw!G12</f>
        <v>0</v>
      </c>
      <c r="I54" s="688">
        <f>+landbouw!H12</f>
        <v>0</v>
      </c>
      <c r="J54" s="688">
        <f>+landbouw!I12</f>
        <v>0</v>
      </c>
      <c r="K54" s="688">
        <f>+landbouw!J12</f>
        <v>1331.1178270109515</v>
      </c>
      <c r="L54" s="688">
        <f>+landbouw!K12</f>
        <v>0</v>
      </c>
      <c r="M54" s="688">
        <f>+landbouw!L12</f>
        <v>0</v>
      </c>
      <c r="N54" s="688">
        <f>+landbouw!M12</f>
        <v>0</v>
      </c>
      <c r="O54" s="688">
        <f>+landbouw!N12</f>
        <v>0</v>
      </c>
      <c r="P54" s="688">
        <f>+landbouw!O12</f>
        <v>0</v>
      </c>
      <c r="Q54" s="689">
        <f>+landbouw!P12</f>
        <v>0</v>
      </c>
      <c r="R54" s="717">
        <f ca="1">SUM(C54:Q54)</f>
        <v>16917.088337524157</v>
      </c>
    </row>
    <row r="55" spans="1:18" ht="15" thickBot="1">
      <c r="A55" s="819" t="s">
        <v>703</v>
      </c>
      <c r="B55" s="829"/>
      <c r="C55" s="688">
        <f ca="1">C25*'EF ele_warmte'!B12</f>
        <v>185.66426918184288</v>
      </c>
      <c r="D55" s="688"/>
      <c r="E55" s="688">
        <f>E25*EF_CO2_aardgas</f>
        <v>1641.0206977153257</v>
      </c>
      <c r="F55" s="688"/>
      <c r="G55" s="688"/>
      <c r="H55" s="688"/>
      <c r="I55" s="688"/>
      <c r="J55" s="688"/>
      <c r="K55" s="688"/>
      <c r="L55" s="688"/>
      <c r="M55" s="688"/>
      <c r="N55" s="688"/>
      <c r="O55" s="688"/>
      <c r="P55" s="688"/>
      <c r="Q55" s="689"/>
      <c r="R55" s="717">
        <f ca="1">SUM(C55:Q55)</f>
        <v>1826.6849668971686</v>
      </c>
    </row>
    <row r="56" spans="1:18" ht="15.75" thickBot="1">
      <c r="A56" s="817" t="s">
        <v>704</v>
      </c>
      <c r="B56" s="830"/>
      <c r="C56" s="718">
        <f ca="1">SUM(C54:C55)</f>
        <v>3130.5352019668435</v>
      </c>
      <c r="D56" s="718">
        <f t="shared" ref="D56:Q56" ca="1" si="7">SUM(D54:D55)</f>
        <v>0</v>
      </c>
      <c r="E56" s="718">
        <f t="shared" si="7"/>
        <v>1752.3479710347017</v>
      </c>
      <c r="F56" s="718">
        <f t="shared" si="7"/>
        <v>121.26336767099708</v>
      </c>
      <c r="G56" s="718">
        <f t="shared" si="7"/>
        <v>12408.508936737831</v>
      </c>
      <c r="H56" s="718">
        <f t="shared" si="7"/>
        <v>0</v>
      </c>
      <c r="I56" s="718">
        <f t="shared" si="7"/>
        <v>0</v>
      </c>
      <c r="J56" s="718">
        <f t="shared" si="7"/>
        <v>0</v>
      </c>
      <c r="K56" s="718">
        <f t="shared" si="7"/>
        <v>1331.1178270109515</v>
      </c>
      <c r="L56" s="718">
        <f t="shared" si="7"/>
        <v>0</v>
      </c>
      <c r="M56" s="718">
        <f t="shared" si="7"/>
        <v>0</v>
      </c>
      <c r="N56" s="718">
        <f t="shared" si="7"/>
        <v>0</v>
      </c>
      <c r="O56" s="718">
        <f t="shared" si="7"/>
        <v>0</v>
      </c>
      <c r="P56" s="718">
        <f t="shared" si="7"/>
        <v>0</v>
      </c>
      <c r="Q56" s="719">
        <f t="shared" si="7"/>
        <v>0</v>
      </c>
      <c r="R56" s="720">
        <f ca="1">SUM(R54:R55)</f>
        <v>18743.773304421327</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47270.989914842925</v>
      </c>
      <c r="D61" s="726">
        <f t="shared" ref="D61:Q61" ca="1" si="8">D46+D52+D56</f>
        <v>0</v>
      </c>
      <c r="E61" s="726">
        <f t="shared" ca="1" si="8"/>
        <v>63533.365344686419</v>
      </c>
      <c r="F61" s="726">
        <f t="shared" si="8"/>
        <v>718.1912792595889</v>
      </c>
      <c r="G61" s="726">
        <f t="shared" ca="1" si="8"/>
        <v>36548.224912299134</v>
      </c>
      <c r="H61" s="726">
        <f t="shared" si="8"/>
        <v>32452.092134588529</v>
      </c>
      <c r="I61" s="726">
        <f t="shared" si="8"/>
        <v>6198.0176344719339</v>
      </c>
      <c r="J61" s="726">
        <f t="shared" si="8"/>
        <v>0</v>
      </c>
      <c r="K61" s="726">
        <f t="shared" si="8"/>
        <v>1409.6076263644807</v>
      </c>
      <c r="L61" s="726">
        <f t="shared" si="8"/>
        <v>0</v>
      </c>
      <c r="M61" s="726">
        <f t="shared" ca="1" si="8"/>
        <v>0</v>
      </c>
      <c r="N61" s="726">
        <f t="shared" si="8"/>
        <v>0</v>
      </c>
      <c r="O61" s="726">
        <f t="shared" ca="1" si="8"/>
        <v>0</v>
      </c>
      <c r="P61" s="726">
        <f t="shared" si="8"/>
        <v>0</v>
      </c>
      <c r="Q61" s="726">
        <f t="shared" si="8"/>
        <v>0</v>
      </c>
      <c r="R61" s="726">
        <f ca="1">R46+R52+R56</f>
        <v>188130.48884651304</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0.2055845639839233</v>
      </c>
      <c r="D63" s="772">
        <f t="shared" ca="1" si="9"/>
        <v>0</v>
      </c>
      <c r="E63" s="964">
        <f t="shared" ca="1" si="9"/>
        <v>0.20200000000000001</v>
      </c>
      <c r="F63" s="772">
        <f t="shared" si="9"/>
        <v>0.22700000000000001</v>
      </c>
      <c r="G63" s="772">
        <f t="shared" ca="1" si="9"/>
        <v>0.26699999999999996</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15951.347156563321</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87.299999999999983</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102.70588235294116</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16038.64715656332</v>
      </c>
      <c r="C78" s="744">
        <f>SUM(C72:C77)</f>
        <v>0</v>
      </c>
      <c r="D78" s="745">
        <f t="shared" ref="D78:H78" si="10">SUM(D76:D77)</f>
        <v>0</v>
      </c>
      <c r="E78" s="745">
        <f t="shared" si="10"/>
        <v>0</v>
      </c>
      <c r="F78" s="745">
        <f t="shared" si="10"/>
        <v>0</v>
      </c>
      <c r="G78" s="745">
        <f t="shared" si="10"/>
        <v>0</v>
      </c>
      <c r="H78" s="745">
        <f t="shared" si="10"/>
        <v>0</v>
      </c>
      <c r="I78" s="745">
        <f>SUM(I76:I77)</f>
        <v>0</v>
      </c>
      <c r="J78" s="745">
        <f>SUM(J76:J77)</f>
        <v>102.70588235294116</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124.71428571428569</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146.72268907563023</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124.71428571428569</v>
      </c>
      <c r="C90" s="744">
        <f>SUM(C87:C89)</f>
        <v>0</v>
      </c>
      <c r="D90" s="744">
        <f t="shared" ref="D90:H90" si="12">SUM(D87:D89)</f>
        <v>0</v>
      </c>
      <c r="E90" s="744">
        <f t="shared" si="12"/>
        <v>0</v>
      </c>
      <c r="F90" s="744">
        <f t="shared" si="12"/>
        <v>0</v>
      </c>
      <c r="G90" s="744">
        <f t="shared" si="12"/>
        <v>0</v>
      </c>
      <c r="H90" s="744">
        <f t="shared" si="12"/>
        <v>0</v>
      </c>
      <c r="I90" s="744">
        <f>SUM(I87:I89)</f>
        <v>0</v>
      </c>
      <c r="J90" s="744">
        <f>SUM(J87:J89)</f>
        <v>146.72268907563023</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33338.626947039767</v>
      </c>
      <c r="C4" s="449">
        <f>huishoudens!C8</f>
        <v>0</v>
      </c>
      <c r="D4" s="449">
        <f>huishoudens!D8</f>
        <v>74060.112196904171</v>
      </c>
      <c r="E4" s="449">
        <f>huishoudens!E8</f>
        <v>1913.3309406538376</v>
      </c>
      <c r="F4" s="449">
        <f>huishoudens!F8</f>
        <v>43459.170544971843</v>
      </c>
      <c r="G4" s="449">
        <f>huishoudens!G8</f>
        <v>0</v>
      </c>
      <c r="H4" s="449">
        <f>huishoudens!H8</f>
        <v>0</v>
      </c>
      <c r="I4" s="449">
        <f>huishoudens!I8</f>
        <v>0</v>
      </c>
      <c r="J4" s="449">
        <f>huishoudens!J8</f>
        <v>217.41889783256258</v>
      </c>
      <c r="K4" s="449">
        <f>huishoudens!K8</f>
        <v>0</v>
      </c>
      <c r="L4" s="449">
        <f>huishoudens!L8</f>
        <v>0</v>
      </c>
      <c r="M4" s="449">
        <f>huishoudens!M8</f>
        <v>0</v>
      </c>
      <c r="N4" s="449">
        <f>huishoudens!N8</f>
        <v>11719.820335542012</v>
      </c>
      <c r="O4" s="449">
        <f>huishoudens!O8</f>
        <v>678.5137110303649</v>
      </c>
      <c r="P4" s="450">
        <f>huishoudens!P8</f>
        <v>842.71674461480166</v>
      </c>
      <c r="Q4" s="451">
        <f>SUM(B4:P4)</f>
        <v>166229.71031858938</v>
      </c>
    </row>
    <row r="5" spans="1:17">
      <c r="A5" s="448" t="s">
        <v>155</v>
      </c>
      <c r="B5" s="449">
        <f ca="1">tertiair!B16</f>
        <v>34516.795528116687</v>
      </c>
      <c r="C5" s="449">
        <f ca="1">tertiair!C16</f>
        <v>0</v>
      </c>
      <c r="D5" s="449">
        <f ca="1">tertiair!D16</f>
        <v>44554.606895508674</v>
      </c>
      <c r="E5" s="449">
        <f>tertiair!E16</f>
        <v>102.8357695471165</v>
      </c>
      <c r="F5" s="449">
        <f ca="1">tertiair!F16</f>
        <v>5327.8218564188692</v>
      </c>
      <c r="G5" s="449">
        <f>tertiair!G16</f>
        <v>0</v>
      </c>
      <c r="H5" s="449">
        <f>tertiair!H16</f>
        <v>0</v>
      </c>
      <c r="I5" s="449">
        <f>tertiair!I16</f>
        <v>0</v>
      </c>
      <c r="J5" s="449">
        <f>tertiair!J16</f>
        <v>3.7469634990820816E-2</v>
      </c>
      <c r="K5" s="449">
        <f>tertiair!K16</f>
        <v>0</v>
      </c>
      <c r="L5" s="449">
        <f ca="1">tertiair!L16</f>
        <v>0</v>
      </c>
      <c r="M5" s="449">
        <f>tertiair!M16</f>
        <v>0</v>
      </c>
      <c r="N5" s="449">
        <f ca="1">tertiair!N16</f>
        <v>1418.8742146337888</v>
      </c>
      <c r="O5" s="449">
        <f>tertiair!O16</f>
        <v>39.178086126729234</v>
      </c>
      <c r="P5" s="450">
        <f>tertiair!P16</f>
        <v>157.61741491948504</v>
      </c>
      <c r="Q5" s="448">
        <f t="shared" ref="Q5:Q14" ca="1" si="0">SUM(B5:P5)</f>
        <v>86117.76723490635</v>
      </c>
    </row>
    <row r="6" spans="1:17">
      <c r="A6" s="448" t="s">
        <v>193</v>
      </c>
      <c r="B6" s="449">
        <f>'openbare verlichting'!B8</f>
        <v>1428.5609999999999</v>
      </c>
      <c r="C6" s="449"/>
      <c r="D6" s="449"/>
      <c r="E6" s="449"/>
      <c r="F6" s="449"/>
      <c r="G6" s="449"/>
      <c r="H6" s="449"/>
      <c r="I6" s="449"/>
      <c r="J6" s="449"/>
      <c r="K6" s="449"/>
      <c r="L6" s="449"/>
      <c r="M6" s="449"/>
      <c r="N6" s="449"/>
      <c r="O6" s="449"/>
      <c r="P6" s="450"/>
      <c r="Q6" s="448">
        <f t="shared" si="0"/>
        <v>1428.5609999999999</v>
      </c>
    </row>
    <row r="7" spans="1:17">
      <c r="A7" s="448" t="s">
        <v>111</v>
      </c>
      <c r="B7" s="449">
        <f>landbouw!B8</f>
        <v>14324.377646442801</v>
      </c>
      <c r="C7" s="449">
        <f>landbouw!C8</f>
        <v>124.71428571428569</v>
      </c>
      <c r="D7" s="449">
        <f>landbouw!D8</f>
        <v>551.1251154424549</v>
      </c>
      <c r="E7" s="449">
        <f>landbouw!E8</f>
        <v>534.19985758148493</v>
      </c>
      <c r="F7" s="449">
        <f>landbouw!F8</f>
        <v>46473.816242463785</v>
      </c>
      <c r="G7" s="449">
        <f>landbouw!G8</f>
        <v>0</v>
      </c>
      <c r="H7" s="449">
        <f>landbouw!H8</f>
        <v>0</v>
      </c>
      <c r="I7" s="449">
        <f>landbouw!I8</f>
        <v>0</v>
      </c>
      <c r="J7" s="449">
        <f>landbouw!J8</f>
        <v>3760.2198503134223</v>
      </c>
      <c r="K7" s="449">
        <f>landbouw!K8</f>
        <v>0</v>
      </c>
      <c r="L7" s="449">
        <f>landbouw!L8</f>
        <v>0</v>
      </c>
      <c r="M7" s="449">
        <f>landbouw!M8</f>
        <v>0</v>
      </c>
      <c r="N7" s="449">
        <f>landbouw!N8</f>
        <v>0</v>
      </c>
      <c r="O7" s="449">
        <f>landbouw!O8</f>
        <v>0</v>
      </c>
      <c r="P7" s="450">
        <f>landbouw!P8</f>
        <v>0</v>
      </c>
      <c r="Q7" s="448">
        <f t="shared" si="0"/>
        <v>65768.452997958244</v>
      </c>
    </row>
    <row r="8" spans="1:17">
      <c r="A8" s="448" t="s">
        <v>618</v>
      </c>
      <c r="B8" s="449">
        <f>industrie!B18</f>
        <v>145186.46031863944</v>
      </c>
      <c r="C8" s="449">
        <f>industrie!C18</f>
        <v>0</v>
      </c>
      <c r="D8" s="449">
        <f>industrie!D18</f>
        <v>186821.78081700313</v>
      </c>
      <c r="E8" s="449">
        <f>industrie!E18</f>
        <v>388.43888150514681</v>
      </c>
      <c r="F8" s="449">
        <f>industrie!F18</f>
        <v>41623.928855393191</v>
      </c>
      <c r="G8" s="449">
        <f>industrie!G18</f>
        <v>0</v>
      </c>
      <c r="H8" s="449">
        <f>industrie!H18</f>
        <v>0</v>
      </c>
      <c r="I8" s="449">
        <f>industrie!I18</f>
        <v>0</v>
      </c>
      <c r="J8" s="449">
        <f>industrie!J18</f>
        <v>4.2662295763145517</v>
      </c>
      <c r="K8" s="449">
        <f>industrie!K18</f>
        <v>0</v>
      </c>
      <c r="L8" s="449">
        <f>industrie!L18</f>
        <v>0</v>
      </c>
      <c r="M8" s="449">
        <f>industrie!M18</f>
        <v>0</v>
      </c>
      <c r="N8" s="449">
        <f>industrie!N18</f>
        <v>6164.992041585775</v>
      </c>
      <c r="O8" s="449">
        <f>industrie!O18</f>
        <v>0</v>
      </c>
      <c r="P8" s="450">
        <f>industrie!P18</f>
        <v>0</v>
      </c>
      <c r="Q8" s="448">
        <f t="shared" si="0"/>
        <v>380189.86714370304</v>
      </c>
    </row>
    <row r="9" spans="1:17" s="454" customFormat="1">
      <c r="A9" s="452" t="s">
        <v>544</v>
      </c>
      <c r="B9" s="453">
        <f>transport!B14</f>
        <v>220.88864230535438</v>
      </c>
      <c r="C9" s="453">
        <f>transport!C14</f>
        <v>0</v>
      </c>
      <c r="D9" s="453">
        <f>transport!D14</f>
        <v>410.12075222616227</v>
      </c>
      <c r="E9" s="453">
        <f>transport!E14</f>
        <v>225.03278533615321</v>
      </c>
      <c r="F9" s="453">
        <f>transport!F14</f>
        <v>0</v>
      </c>
      <c r="G9" s="453">
        <f>transport!G14</f>
        <v>120421.71430542276</v>
      </c>
      <c r="H9" s="453">
        <f>transport!H14</f>
        <v>24891.637086232666</v>
      </c>
      <c r="I9" s="453">
        <f>transport!I14</f>
        <v>0</v>
      </c>
      <c r="J9" s="453">
        <f>transport!J14</f>
        <v>0</v>
      </c>
      <c r="K9" s="453">
        <f>transport!K14</f>
        <v>0</v>
      </c>
      <c r="L9" s="453">
        <f>transport!L14</f>
        <v>0</v>
      </c>
      <c r="M9" s="453">
        <f>transport!M14</f>
        <v>8510.2776683743723</v>
      </c>
      <c r="N9" s="453">
        <f>transport!N14</f>
        <v>0</v>
      </c>
      <c r="O9" s="453">
        <f>transport!O14</f>
        <v>0</v>
      </c>
      <c r="P9" s="453">
        <f>transport!P14</f>
        <v>0</v>
      </c>
      <c r="Q9" s="452">
        <f>SUM(B9:P9)</f>
        <v>154679.67123989749</v>
      </c>
    </row>
    <row r="10" spans="1:17">
      <c r="A10" s="448" t="s">
        <v>534</v>
      </c>
      <c r="B10" s="449">
        <f>transport!B54</f>
        <v>15.714909767873188</v>
      </c>
      <c r="C10" s="449">
        <f>transport!C54</f>
        <v>0</v>
      </c>
      <c r="D10" s="449">
        <f>transport!D54</f>
        <v>0</v>
      </c>
      <c r="E10" s="449">
        <f>transport!E54</f>
        <v>0</v>
      </c>
      <c r="F10" s="449">
        <f>transport!F54</f>
        <v>0</v>
      </c>
      <c r="G10" s="449">
        <f>transport!G54</f>
        <v>1121.7019289911873</v>
      </c>
      <c r="H10" s="449">
        <f>transport!H54</f>
        <v>0</v>
      </c>
      <c r="I10" s="449">
        <f>transport!I54</f>
        <v>0</v>
      </c>
      <c r="J10" s="449">
        <f>transport!J54</f>
        <v>0</v>
      </c>
      <c r="K10" s="449">
        <f>transport!K54</f>
        <v>0</v>
      </c>
      <c r="L10" s="449">
        <f>transport!L54</f>
        <v>0</v>
      </c>
      <c r="M10" s="449">
        <f>transport!M54</f>
        <v>61.938803234951976</v>
      </c>
      <c r="N10" s="449">
        <f>transport!N54</f>
        <v>0</v>
      </c>
      <c r="O10" s="449">
        <f>transport!O54</f>
        <v>0</v>
      </c>
      <c r="P10" s="450">
        <f>transport!P54</f>
        <v>0</v>
      </c>
      <c r="Q10" s="448">
        <f t="shared" si="0"/>
        <v>1199.3556419940126</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903.10413186644598</v>
      </c>
      <c r="C14" s="456"/>
      <c r="D14" s="456">
        <f>'SEAP template'!E25</f>
        <v>8123.8648401748796</v>
      </c>
      <c r="E14" s="456"/>
      <c r="F14" s="456"/>
      <c r="G14" s="456"/>
      <c r="H14" s="456"/>
      <c r="I14" s="456"/>
      <c r="J14" s="456"/>
      <c r="K14" s="456"/>
      <c r="L14" s="456"/>
      <c r="M14" s="456"/>
      <c r="N14" s="456"/>
      <c r="O14" s="456"/>
      <c r="P14" s="457"/>
      <c r="Q14" s="448">
        <f t="shared" si="0"/>
        <v>9026.9689720413262</v>
      </c>
    </row>
    <row r="15" spans="1:17" s="460" customFormat="1">
      <c r="A15" s="458" t="s">
        <v>538</v>
      </c>
      <c r="B15" s="459">
        <f ca="1">SUM(B4:B14)</f>
        <v>229934.5291241784</v>
      </c>
      <c r="C15" s="459">
        <f t="shared" ref="C15:Q15" ca="1" si="1">SUM(C4:C14)</f>
        <v>124.71428571428569</v>
      </c>
      <c r="D15" s="459">
        <f t="shared" ca="1" si="1"/>
        <v>314521.61061725952</v>
      </c>
      <c r="E15" s="459">
        <f t="shared" si="1"/>
        <v>3163.8382346237395</v>
      </c>
      <c r="F15" s="459">
        <f t="shared" ca="1" si="1"/>
        <v>136884.73749924768</v>
      </c>
      <c r="G15" s="459">
        <f t="shared" si="1"/>
        <v>121543.41623441395</v>
      </c>
      <c r="H15" s="459">
        <f t="shared" si="1"/>
        <v>24891.637086232666</v>
      </c>
      <c r="I15" s="459">
        <f t="shared" si="1"/>
        <v>0</v>
      </c>
      <c r="J15" s="459">
        <f t="shared" si="1"/>
        <v>3981.9424473572899</v>
      </c>
      <c r="K15" s="459">
        <f t="shared" si="1"/>
        <v>0</v>
      </c>
      <c r="L15" s="459">
        <f t="shared" ca="1" si="1"/>
        <v>0</v>
      </c>
      <c r="M15" s="459">
        <f t="shared" si="1"/>
        <v>8572.2164716093248</v>
      </c>
      <c r="N15" s="459">
        <f t="shared" ca="1" si="1"/>
        <v>19303.686591761576</v>
      </c>
      <c r="O15" s="459">
        <f t="shared" si="1"/>
        <v>717.69179715709413</v>
      </c>
      <c r="P15" s="459">
        <f t="shared" si="1"/>
        <v>1000.3341595342868</v>
      </c>
      <c r="Q15" s="459">
        <f t="shared" ca="1" si="1"/>
        <v>864640.3545490898</v>
      </c>
    </row>
    <row r="17" spans="1:17">
      <c r="A17" s="461" t="s">
        <v>539</v>
      </c>
      <c r="B17" s="777">
        <f ca="1">huishoudens!B10</f>
        <v>0.2055845639839233</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6853.9070847298462</v>
      </c>
      <c r="C22" s="449">
        <f t="shared" ref="C22:C32" ca="1" si="3">C4*$C$17</f>
        <v>0</v>
      </c>
      <c r="D22" s="449">
        <f t="shared" ref="D22:D32" si="4">D4*$D$17</f>
        <v>14960.142663774643</v>
      </c>
      <c r="E22" s="449">
        <f t="shared" ref="E22:E32" si="5">E4*$E$17</f>
        <v>434.32612352842114</v>
      </c>
      <c r="F22" s="449">
        <f t="shared" ref="F22:F32" si="6">F4*$F$17</f>
        <v>11603.598535507483</v>
      </c>
      <c r="G22" s="449">
        <f t="shared" ref="G22:G32" si="7">G4*$G$17</f>
        <v>0</v>
      </c>
      <c r="H22" s="449">
        <f t="shared" ref="H22:H32" si="8">H4*$H$17</f>
        <v>0</v>
      </c>
      <c r="I22" s="449">
        <f t="shared" ref="I22:I32" si="9">I4*$I$17</f>
        <v>0</v>
      </c>
      <c r="J22" s="449">
        <f t="shared" ref="J22:J32" si="10">J4*$J$17</f>
        <v>76.966289832727142</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33928.940697373124</v>
      </c>
    </row>
    <row r="23" spans="1:17">
      <c r="A23" s="448" t="s">
        <v>155</v>
      </c>
      <c r="B23" s="449">
        <f t="shared" ca="1" si="2"/>
        <v>7096.1203587701029</v>
      </c>
      <c r="C23" s="449">
        <f t="shared" ca="1" si="3"/>
        <v>0</v>
      </c>
      <c r="D23" s="449">
        <f t="shared" ca="1" si="4"/>
        <v>9000.0305928927519</v>
      </c>
      <c r="E23" s="449">
        <f t="shared" si="5"/>
        <v>23.343719687195446</v>
      </c>
      <c r="F23" s="449">
        <f t="shared" ca="1" si="6"/>
        <v>1422.5284356638381</v>
      </c>
      <c r="G23" s="449">
        <f t="shared" si="7"/>
        <v>0</v>
      </c>
      <c r="H23" s="449">
        <f t="shared" si="8"/>
        <v>0</v>
      </c>
      <c r="I23" s="449">
        <f t="shared" si="9"/>
        <v>0</v>
      </c>
      <c r="J23" s="449">
        <f t="shared" si="10"/>
        <v>1.3264250786750567E-2</v>
      </c>
      <c r="K23" s="449">
        <f t="shared" si="11"/>
        <v>0</v>
      </c>
      <c r="L23" s="449">
        <f t="shared" ca="1" si="12"/>
        <v>0</v>
      </c>
      <c r="M23" s="449">
        <f t="shared" si="13"/>
        <v>0</v>
      </c>
      <c r="N23" s="449">
        <f t="shared" ca="1" si="14"/>
        <v>0</v>
      </c>
      <c r="O23" s="449">
        <f t="shared" si="15"/>
        <v>0</v>
      </c>
      <c r="P23" s="450">
        <f t="shared" si="16"/>
        <v>0</v>
      </c>
      <c r="Q23" s="448">
        <f t="shared" ref="Q23:Q31" ca="1" si="17">SUM(B23:P23)</f>
        <v>17542.036371264672</v>
      </c>
    </row>
    <row r="24" spans="1:17">
      <c r="A24" s="448" t="s">
        <v>193</v>
      </c>
      <c r="B24" s="449">
        <f t="shared" ca="1" si="2"/>
        <v>293.69009030943744</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293.69009030943744</v>
      </c>
    </row>
    <row r="25" spans="1:17">
      <c r="A25" s="448" t="s">
        <v>111</v>
      </c>
      <c r="B25" s="449">
        <f t="shared" ca="1" si="2"/>
        <v>2944.8709327850006</v>
      </c>
      <c r="C25" s="449">
        <f t="shared" ca="1" si="3"/>
        <v>0</v>
      </c>
      <c r="D25" s="449">
        <f t="shared" si="4"/>
        <v>111.32727331937589</v>
      </c>
      <c r="E25" s="449">
        <f t="shared" si="5"/>
        <v>121.26336767099708</v>
      </c>
      <c r="F25" s="449">
        <f t="shared" si="6"/>
        <v>12408.508936737831</v>
      </c>
      <c r="G25" s="449">
        <f t="shared" si="7"/>
        <v>0</v>
      </c>
      <c r="H25" s="449">
        <f t="shared" si="8"/>
        <v>0</v>
      </c>
      <c r="I25" s="449">
        <f t="shared" si="9"/>
        <v>0</v>
      </c>
      <c r="J25" s="449">
        <f t="shared" si="10"/>
        <v>1331.1178270109515</v>
      </c>
      <c r="K25" s="449">
        <f t="shared" si="11"/>
        <v>0</v>
      </c>
      <c r="L25" s="449">
        <f t="shared" si="12"/>
        <v>0</v>
      </c>
      <c r="M25" s="449">
        <f t="shared" si="13"/>
        <v>0</v>
      </c>
      <c r="N25" s="449">
        <f t="shared" si="14"/>
        <v>0</v>
      </c>
      <c r="O25" s="449">
        <f t="shared" si="15"/>
        <v>0</v>
      </c>
      <c r="P25" s="450">
        <f t="shared" si="16"/>
        <v>0</v>
      </c>
      <c r="Q25" s="448">
        <f t="shared" ca="1" si="17"/>
        <v>16917.088337524157</v>
      </c>
    </row>
    <row r="26" spans="1:17">
      <c r="A26" s="448" t="s">
        <v>618</v>
      </c>
      <c r="B26" s="449">
        <f t="shared" ca="1" si="2"/>
        <v>29848.095140976671</v>
      </c>
      <c r="C26" s="449">
        <f t="shared" ca="1" si="3"/>
        <v>0</v>
      </c>
      <c r="D26" s="449">
        <f t="shared" si="4"/>
        <v>37737.999725034635</v>
      </c>
      <c r="E26" s="449">
        <f t="shared" si="5"/>
        <v>88.175626101668328</v>
      </c>
      <c r="F26" s="449">
        <f t="shared" si="6"/>
        <v>11113.589004389984</v>
      </c>
      <c r="G26" s="449">
        <f t="shared" si="7"/>
        <v>0</v>
      </c>
      <c r="H26" s="449">
        <f t="shared" si="8"/>
        <v>0</v>
      </c>
      <c r="I26" s="449">
        <f t="shared" si="9"/>
        <v>0</v>
      </c>
      <c r="J26" s="449">
        <f t="shared" si="10"/>
        <v>1.5102452700153512</v>
      </c>
      <c r="K26" s="449">
        <f t="shared" si="11"/>
        <v>0</v>
      </c>
      <c r="L26" s="449">
        <f t="shared" si="12"/>
        <v>0</v>
      </c>
      <c r="M26" s="449">
        <f t="shared" si="13"/>
        <v>0</v>
      </c>
      <c r="N26" s="449">
        <f t="shared" si="14"/>
        <v>0</v>
      </c>
      <c r="O26" s="449">
        <f t="shared" si="15"/>
        <v>0</v>
      </c>
      <c r="P26" s="450">
        <f t="shared" si="16"/>
        <v>0</v>
      </c>
      <c r="Q26" s="448">
        <f t="shared" ca="1" si="17"/>
        <v>78789.369741772971</v>
      </c>
    </row>
    <row r="27" spans="1:17" s="454" customFormat="1">
      <c r="A27" s="452" t="s">
        <v>544</v>
      </c>
      <c r="B27" s="771">
        <f t="shared" ca="1" si="2"/>
        <v>45.411295217347075</v>
      </c>
      <c r="C27" s="453">
        <f t="shared" ca="1" si="3"/>
        <v>0</v>
      </c>
      <c r="D27" s="453">
        <f t="shared" si="4"/>
        <v>82.844391949684777</v>
      </c>
      <c r="E27" s="453">
        <f t="shared" si="5"/>
        <v>51.082442271306782</v>
      </c>
      <c r="F27" s="453">
        <f t="shared" si="6"/>
        <v>0</v>
      </c>
      <c r="G27" s="453">
        <f t="shared" si="7"/>
        <v>32152.597719547881</v>
      </c>
      <c r="H27" s="453">
        <f t="shared" si="8"/>
        <v>6198.0176344719339</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38529.953483458157</v>
      </c>
    </row>
    <row r="28" spans="1:17" ht="16.5" customHeight="1">
      <c r="A28" s="448" t="s">
        <v>534</v>
      </c>
      <c r="B28" s="449">
        <f t="shared" ca="1" si="2"/>
        <v>3.2307428726749068</v>
      </c>
      <c r="C28" s="449">
        <f t="shared" ca="1" si="3"/>
        <v>0</v>
      </c>
      <c r="D28" s="449">
        <f t="shared" si="4"/>
        <v>0</v>
      </c>
      <c r="E28" s="449">
        <f t="shared" si="5"/>
        <v>0</v>
      </c>
      <c r="F28" s="449">
        <f t="shared" si="6"/>
        <v>0</v>
      </c>
      <c r="G28" s="449">
        <f t="shared" si="7"/>
        <v>299.49441504064703</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302.72515791332194</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185.66426918184288</v>
      </c>
      <c r="C32" s="449">
        <f t="shared" ca="1" si="3"/>
        <v>0</v>
      </c>
      <c r="D32" s="449">
        <f t="shared" si="4"/>
        <v>1641.0206977153257</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1826.6849668971686</v>
      </c>
    </row>
    <row r="33" spans="1:17" s="460" customFormat="1">
      <c r="A33" s="458" t="s">
        <v>538</v>
      </c>
      <c r="B33" s="459">
        <f ca="1">SUM(B22:B32)</f>
        <v>47270.989914842925</v>
      </c>
      <c r="C33" s="459">
        <f t="shared" ref="C33:Q33" ca="1" si="19">SUM(C22:C32)</f>
        <v>0</v>
      </c>
      <c r="D33" s="459">
        <f t="shared" ca="1" si="19"/>
        <v>63533.365344686426</v>
      </c>
      <c r="E33" s="459">
        <f t="shared" si="19"/>
        <v>718.19127925958878</v>
      </c>
      <c r="F33" s="459">
        <f t="shared" ca="1" si="19"/>
        <v>36548.224912299134</v>
      </c>
      <c r="G33" s="459">
        <f t="shared" si="19"/>
        <v>32452.092134588529</v>
      </c>
      <c r="H33" s="459">
        <f t="shared" si="19"/>
        <v>6198.0176344719339</v>
      </c>
      <c r="I33" s="459">
        <f t="shared" si="19"/>
        <v>0</v>
      </c>
      <c r="J33" s="459">
        <f t="shared" si="19"/>
        <v>1409.6076263644807</v>
      </c>
      <c r="K33" s="459">
        <f t="shared" si="19"/>
        <v>0</v>
      </c>
      <c r="L33" s="459">
        <f t="shared" ca="1" si="19"/>
        <v>0</v>
      </c>
      <c r="M33" s="459">
        <f t="shared" si="19"/>
        <v>0</v>
      </c>
      <c r="N33" s="459">
        <f t="shared" ca="1" si="19"/>
        <v>0</v>
      </c>
      <c r="O33" s="459">
        <f t="shared" si="19"/>
        <v>0</v>
      </c>
      <c r="P33" s="459">
        <f t="shared" si="19"/>
        <v>0</v>
      </c>
      <c r="Q33" s="459">
        <f t="shared" ca="1" si="19"/>
        <v>188130.48884651298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15951.347156563321</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87.299999999999983</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102.70588235294116</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16038.64715656332</v>
      </c>
      <c r="C10" s="1017">
        <f>SUM(C4:C9)</f>
        <v>0</v>
      </c>
      <c r="D10" s="1017">
        <f t="shared" ref="D10:H10" si="0">SUM(D8:D9)</f>
        <v>0</v>
      </c>
      <c r="E10" s="1017">
        <f t="shared" si="0"/>
        <v>0</v>
      </c>
      <c r="F10" s="1017">
        <f t="shared" si="0"/>
        <v>0</v>
      </c>
      <c r="G10" s="1017">
        <f t="shared" si="0"/>
        <v>0</v>
      </c>
      <c r="H10" s="1017">
        <f t="shared" si="0"/>
        <v>0</v>
      </c>
      <c r="I10" s="1017">
        <f>SUM(I8:I9)</f>
        <v>0</v>
      </c>
      <c r="J10" s="1017">
        <f>SUM(J8:J9)</f>
        <v>102.70588235294116</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0.2055845639839233</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124.71428571428569</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146.72268907563023</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124.71428571428569</v>
      </c>
      <c r="C20" s="1017">
        <f>SUM(C17:C19)</f>
        <v>0</v>
      </c>
      <c r="D20" s="1017">
        <f t="shared" ref="D20:H20" si="2">SUM(D17:D19)</f>
        <v>0</v>
      </c>
      <c r="E20" s="1017">
        <f t="shared" si="2"/>
        <v>0</v>
      </c>
      <c r="F20" s="1017">
        <f t="shared" si="2"/>
        <v>0</v>
      </c>
      <c r="G20" s="1017">
        <f t="shared" si="2"/>
        <v>0</v>
      </c>
      <c r="H20" s="1017">
        <f t="shared" si="2"/>
        <v>0</v>
      </c>
      <c r="I20" s="1017">
        <f>SUM(I17:I19)</f>
        <v>0</v>
      </c>
      <c r="J20" s="1017">
        <f>SUM(J17:J19)</f>
        <v>146.72268907563023</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0.2055845639839233</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0.2055845639839233</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0.2055845639839233</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8708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5074.29</v>
      </c>
      <c r="C14" s="326"/>
      <c r="D14" s="326"/>
      <c r="E14" s="326"/>
      <c r="F14" s="326"/>
    </row>
    <row r="15" spans="1:6">
      <c r="A15" s="1307" t="s">
        <v>183</v>
      </c>
      <c r="B15" s="1308">
        <v>118</v>
      </c>
      <c r="C15" s="326"/>
      <c r="D15" s="326"/>
      <c r="E15" s="326"/>
      <c r="F15" s="326"/>
    </row>
    <row r="16" spans="1:6">
      <c r="A16" s="1307" t="s">
        <v>6</v>
      </c>
      <c r="B16" s="1308">
        <v>3708</v>
      </c>
      <c r="C16" s="326"/>
      <c r="D16" s="326"/>
      <c r="E16" s="326"/>
      <c r="F16" s="326"/>
    </row>
    <row r="17" spans="1:6">
      <c r="A17" s="1307" t="s">
        <v>7</v>
      </c>
      <c r="B17" s="1308">
        <v>2630</v>
      </c>
      <c r="C17" s="326"/>
      <c r="D17" s="326"/>
      <c r="E17" s="326"/>
      <c r="F17" s="326"/>
    </row>
    <row r="18" spans="1:6">
      <c r="A18" s="1307" t="s">
        <v>8</v>
      </c>
      <c r="B18" s="1308">
        <v>3660</v>
      </c>
      <c r="C18" s="326"/>
      <c r="D18" s="326"/>
      <c r="E18" s="326"/>
      <c r="F18" s="326"/>
    </row>
    <row r="19" spans="1:6">
      <c r="A19" s="1307" t="s">
        <v>9</v>
      </c>
      <c r="B19" s="1308">
        <v>3578</v>
      </c>
      <c r="C19" s="326"/>
      <c r="D19" s="326"/>
      <c r="E19" s="326"/>
      <c r="F19" s="326"/>
    </row>
    <row r="20" spans="1:6">
      <c r="A20" s="1307" t="s">
        <v>10</v>
      </c>
      <c r="B20" s="1308">
        <v>2761</v>
      </c>
      <c r="C20" s="326"/>
      <c r="D20" s="326"/>
      <c r="E20" s="326"/>
      <c r="F20" s="326"/>
    </row>
    <row r="21" spans="1:6">
      <c r="A21" s="1307" t="s">
        <v>11</v>
      </c>
      <c r="B21" s="1308">
        <v>37020</v>
      </c>
      <c r="C21" s="326"/>
      <c r="D21" s="326"/>
      <c r="E21" s="326"/>
      <c r="F21" s="326"/>
    </row>
    <row r="22" spans="1:6">
      <c r="A22" s="1307" t="s">
        <v>12</v>
      </c>
      <c r="B22" s="1308">
        <v>110571</v>
      </c>
      <c r="C22" s="326"/>
      <c r="D22" s="326"/>
      <c r="E22" s="326"/>
      <c r="F22" s="326"/>
    </row>
    <row r="23" spans="1:6">
      <c r="A23" s="1307" t="s">
        <v>13</v>
      </c>
      <c r="B23" s="1308">
        <v>1350</v>
      </c>
      <c r="C23" s="326"/>
      <c r="D23" s="326"/>
      <c r="E23" s="326"/>
      <c r="F23" s="326"/>
    </row>
    <row r="24" spans="1:6">
      <c r="A24" s="1307" t="s">
        <v>14</v>
      </c>
      <c r="B24" s="1308">
        <v>79</v>
      </c>
      <c r="C24" s="326"/>
      <c r="D24" s="326"/>
      <c r="E24" s="326"/>
      <c r="F24" s="326"/>
    </row>
    <row r="25" spans="1:6">
      <c r="A25" s="1307" t="s">
        <v>15</v>
      </c>
      <c r="B25" s="1308">
        <v>8420</v>
      </c>
      <c r="C25" s="326"/>
      <c r="D25" s="326"/>
      <c r="E25" s="326"/>
      <c r="F25" s="326"/>
    </row>
    <row r="26" spans="1:6">
      <c r="A26" s="1307" t="s">
        <v>16</v>
      </c>
      <c r="B26" s="1308">
        <v>377</v>
      </c>
      <c r="C26" s="326"/>
      <c r="D26" s="326"/>
      <c r="E26" s="326"/>
      <c r="F26" s="326"/>
    </row>
    <row r="27" spans="1:6">
      <c r="A27" s="1307" t="s">
        <v>17</v>
      </c>
      <c r="B27" s="1308">
        <v>0</v>
      </c>
      <c r="C27" s="326"/>
      <c r="D27" s="326"/>
      <c r="E27" s="326"/>
      <c r="F27" s="326"/>
    </row>
    <row r="28" spans="1:6" s="43" customFormat="1">
      <c r="A28" s="1309" t="s">
        <v>18</v>
      </c>
      <c r="B28" s="1310">
        <v>746510</v>
      </c>
      <c r="C28" s="332"/>
      <c r="D28" s="332"/>
      <c r="E28" s="332"/>
      <c r="F28" s="332"/>
    </row>
    <row r="29" spans="1:6">
      <c r="A29" s="1309" t="s">
        <v>688</v>
      </c>
      <c r="B29" s="1310">
        <v>268</v>
      </c>
      <c r="C29" s="332"/>
      <c r="D29" s="332"/>
      <c r="E29" s="332"/>
      <c r="F29" s="332"/>
    </row>
    <row r="30" spans="1:6">
      <c r="A30" s="1302" t="s">
        <v>689</v>
      </c>
      <c r="B30" s="1311">
        <v>64</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6</v>
      </c>
      <c r="F36" s="1308">
        <v>81519.395172642995</v>
      </c>
    </row>
    <row r="37" spans="1:6">
      <c r="A37" s="1307" t="s">
        <v>24</v>
      </c>
      <c r="B37" s="1307" t="s">
        <v>27</v>
      </c>
      <c r="C37" s="1308">
        <v>0</v>
      </c>
      <c r="D37" s="1308">
        <v>0</v>
      </c>
      <c r="E37" s="1308">
        <v>0</v>
      </c>
      <c r="F37" s="1308">
        <v>0</v>
      </c>
    </row>
    <row r="38" spans="1:6">
      <c r="A38" s="1307" t="s">
        <v>24</v>
      </c>
      <c r="B38" s="1307" t="s">
        <v>28</v>
      </c>
      <c r="C38" s="1308">
        <v>1</v>
      </c>
      <c r="D38" s="1308">
        <v>85490.354248089599</v>
      </c>
      <c r="E38" s="1308">
        <v>1</v>
      </c>
      <c r="F38" s="1308">
        <v>36790</v>
      </c>
    </row>
    <row r="39" spans="1:6">
      <c r="A39" s="1307" t="s">
        <v>29</v>
      </c>
      <c r="B39" s="1307" t="s">
        <v>30</v>
      </c>
      <c r="C39" s="1308">
        <v>5839</v>
      </c>
      <c r="D39" s="1308">
        <v>82015628.125032306</v>
      </c>
      <c r="E39" s="1308">
        <v>8035</v>
      </c>
      <c r="F39" s="1308">
        <v>27496487.960229501</v>
      </c>
    </row>
    <row r="40" spans="1:6">
      <c r="A40" s="1307" t="s">
        <v>29</v>
      </c>
      <c r="B40" s="1307" t="s">
        <v>28</v>
      </c>
      <c r="C40" s="1308">
        <v>0</v>
      </c>
      <c r="D40" s="1308">
        <v>0</v>
      </c>
      <c r="E40" s="1308">
        <v>0</v>
      </c>
      <c r="F40" s="1308">
        <v>0</v>
      </c>
    </row>
    <row r="41" spans="1:6">
      <c r="A41" s="1307" t="s">
        <v>31</v>
      </c>
      <c r="B41" s="1307" t="s">
        <v>32</v>
      </c>
      <c r="C41" s="1308">
        <v>159</v>
      </c>
      <c r="D41" s="1308">
        <v>66458225.391421899</v>
      </c>
      <c r="E41" s="1308">
        <v>325</v>
      </c>
      <c r="F41" s="1308">
        <v>65157643.869272403</v>
      </c>
    </row>
    <row r="42" spans="1:6">
      <c r="A42" s="1307" t="s">
        <v>31</v>
      </c>
      <c r="B42" s="1307" t="s">
        <v>33</v>
      </c>
      <c r="C42" s="1308">
        <v>0</v>
      </c>
      <c r="D42" s="1308">
        <v>0</v>
      </c>
      <c r="E42" s="1308">
        <v>5</v>
      </c>
      <c r="F42" s="1308">
        <v>792545.43111454102</v>
      </c>
    </row>
    <row r="43" spans="1:6">
      <c r="A43" s="1307" t="s">
        <v>31</v>
      </c>
      <c r="B43" s="1307" t="s">
        <v>34</v>
      </c>
      <c r="C43" s="1308">
        <v>0</v>
      </c>
      <c r="D43" s="1308">
        <v>0</v>
      </c>
      <c r="E43" s="1308">
        <v>0</v>
      </c>
      <c r="F43" s="1308">
        <v>0</v>
      </c>
    </row>
    <row r="44" spans="1:6">
      <c r="A44" s="1307" t="s">
        <v>31</v>
      </c>
      <c r="B44" s="1307" t="s">
        <v>35</v>
      </c>
      <c r="C44" s="1308">
        <v>17</v>
      </c>
      <c r="D44" s="1308">
        <v>1873169.12046846</v>
      </c>
      <c r="E44" s="1308">
        <v>52</v>
      </c>
      <c r="F44" s="1308">
        <v>4758872.5166759901</v>
      </c>
    </row>
    <row r="45" spans="1:6">
      <c r="A45" s="1307" t="s">
        <v>31</v>
      </c>
      <c r="B45" s="1307" t="s">
        <v>36</v>
      </c>
      <c r="C45" s="1308">
        <v>3</v>
      </c>
      <c r="D45" s="1308">
        <v>103311.665675073</v>
      </c>
      <c r="E45" s="1308">
        <v>7</v>
      </c>
      <c r="F45" s="1308">
        <v>500216.92649134301</v>
      </c>
    </row>
    <row r="46" spans="1:6">
      <c r="A46" s="1307" t="s">
        <v>31</v>
      </c>
      <c r="B46" s="1307" t="s">
        <v>37</v>
      </c>
      <c r="C46" s="1308">
        <v>0</v>
      </c>
      <c r="D46" s="1308">
        <v>0</v>
      </c>
      <c r="E46" s="1308">
        <v>0</v>
      </c>
      <c r="F46" s="1308">
        <v>0</v>
      </c>
    </row>
    <row r="47" spans="1:6">
      <c r="A47" s="1307" t="s">
        <v>31</v>
      </c>
      <c r="B47" s="1307" t="s">
        <v>38</v>
      </c>
      <c r="C47" s="1308">
        <v>3</v>
      </c>
      <c r="D47" s="1308">
        <v>22588024.105906099</v>
      </c>
      <c r="E47" s="1308">
        <v>0</v>
      </c>
      <c r="F47" s="1308">
        <v>0</v>
      </c>
    </row>
    <row r="48" spans="1:6">
      <c r="A48" s="1307" t="s">
        <v>31</v>
      </c>
      <c r="B48" s="1307" t="s">
        <v>28</v>
      </c>
      <c r="C48" s="1308">
        <v>1</v>
      </c>
      <c r="D48" s="1308">
        <v>14859.1229036758</v>
      </c>
      <c r="E48" s="1308">
        <v>2</v>
      </c>
      <c r="F48" s="1308">
        <v>23062.347976130899</v>
      </c>
    </row>
    <row r="49" spans="1:6">
      <c r="A49" s="1307" t="s">
        <v>31</v>
      </c>
      <c r="B49" s="1307" t="s">
        <v>39</v>
      </c>
      <c r="C49" s="1308">
        <v>6</v>
      </c>
      <c r="D49" s="1308">
        <v>96831174.605938807</v>
      </c>
      <c r="E49" s="1308">
        <v>13</v>
      </c>
      <c r="F49" s="1308">
        <v>55332016.378745303</v>
      </c>
    </row>
    <row r="50" spans="1:6">
      <c r="A50" s="1307" t="s">
        <v>31</v>
      </c>
      <c r="B50" s="1307" t="s">
        <v>40</v>
      </c>
      <c r="C50" s="1308">
        <v>14</v>
      </c>
      <c r="D50" s="1308">
        <v>19021358.708619699</v>
      </c>
      <c r="E50" s="1308">
        <v>23</v>
      </c>
      <c r="F50" s="1308">
        <v>18622102.848363701</v>
      </c>
    </row>
    <row r="51" spans="1:6">
      <c r="A51" s="1307" t="s">
        <v>41</v>
      </c>
      <c r="B51" s="1307" t="s">
        <v>42</v>
      </c>
      <c r="C51" s="1308">
        <v>16</v>
      </c>
      <c r="D51" s="1308">
        <v>610326.81665831106</v>
      </c>
      <c r="E51" s="1308">
        <v>317</v>
      </c>
      <c r="F51" s="1308">
        <v>14324377.646442801</v>
      </c>
    </row>
    <row r="52" spans="1:6">
      <c r="A52" s="1307" t="s">
        <v>41</v>
      </c>
      <c r="B52" s="1307" t="s">
        <v>28</v>
      </c>
      <c r="C52" s="1308">
        <v>0</v>
      </c>
      <c r="D52" s="1308">
        <v>0</v>
      </c>
      <c r="E52" s="1308">
        <v>0</v>
      </c>
      <c r="F52" s="1308">
        <v>0</v>
      </c>
    </row>
    <row r="53" spans="1:6">
      <c r="A53" s="1307" t="s">
        <v>43</v>
      </c>
      <c r="B53" s="1307" t="s">
        <v>44</v>
      </c>
      <c r="C53" s="1308">
        <v>136</v>
      </c>
      <c r="D53" s="1308">
        <v>8123864.8401748799</v>
      </c>
      <c r="E53" s="1308">
        <v>290</v>
      </c>
      <c r="F53" s="1308">
        <v>903104.131866446</v>
      </c>
    </row>
    <row r="54" spans="1:6">
      <c r="A54" s="1307" t="s">
        <v>45</v>
      </c>
      <c r="B54" s="1307" t="s">
        <v>46</v>
      </c>
      <c r="C54" s="1308">
        <v>0</v>
      </c>
      <c r="D54" s="1308">
        <v>0</v>
      </c>
      <c r="E54" s="1308">
        <v>2</v>
      </c>
      <c r="F54" s="1308">
        <v>1428561</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99</v>
      </c>
      <c r="D57" s="1308">
        <v>5697604.4588586399</v>
      </c>
      <c r="E57" s="1308">
        <v>186</v>
      </c>
      <c r="F57" s="1308">
        <v>3794078.3230597302</v>
      </c>
    </row>
    <row r="58" spans="1:6">
      <c r="A58" s="1307" t="s">
        <v>48</v>
      </c>
      <c r="B58" s="1307" t="s">
        <v>50</v>
      </c>
      <c r="C58" s="1308">
        <v>66</v>
      </c>
      <c r="D58" s="1308">
        <v>10553864.710047999</v>
      </c>
      <c r="E58" s="1308">
        <v>91</v>
      </c>
      <c r="F58" s="1308">
        <v>6959865.1396404197</v>
      </c>
    </row>
    <row r="59" spans="1:6">
      <c r="A59" s="1307" t="s">
        <v>48</v>
      </c>
      <c r="B59" s="1307" t="s">
        <v>51</v>
      </c>
      <c r="C59" s="1308">
        <v>216</v>
      </c>
      <c r="D59" s="1308">
        <v>8965772.6220740899</v>
      </c>
      <c r="E59" s="1308">
        <v>406</v>
      </c>
      <c r="F59" s="1308">
        <v>13353401.941073701</v>
      </c>
    </row>
    <row r="60" spans="1:6">
      <c r="A60" s="1307" t="s">
        <v>48</v>
      </c>
      <c r="B60" s="1307" t="s">
        <v>52</v>
      </c>
      <c r="C60" s="1308">
        <v>84</v>
      </c>
      <c r="D60" s="1308">
        <v>4325085.0702591697</v>
      </c>
      <c r="E60" s="1308">
        <v>100</v>
      </c>
      <c r="F60" s="1308">
        <v>2248406.7653252599</v>
      </c>
    </row>
    <row r="61" spans="1:6">
      <c r="A61" s="1307" t="s">
        <v>48</v>
      </c>
      <c r="B61" s="1307" t="s">
        <v>53</v>
      </c>
      <c r="C61" s="1308">
        <v>316</v>
      </c>
      <c r="D61" s="1308">
        <v>13563348.0142543</v>
      </c>
      <c r="E61" s="1308">
        <v>561</v>
      </c>
      <c r="F61" s="1308">
        <v>6537726.5245369598</v>
      </c>
    </row>
    <row r="62" spans="1:6">
      <c r="A62" s="1307" t="s">
        <v>48</v>
      </c>
      <c r="B62" s="1307" t="s">
        <v>54</v>
      </c>
      <c r="C62" s="1308">
        <v>19</v>
      </c>
      <c r="D62" s="1308">
        <v>6234975.0641610399</v>
      </c>
      <c r="E62" s="1308">
        <v>28</v>
      </c>
      <c r="F62" s="1308">
        <v>1623316.83448061</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1</v>
      </c>
      <c r="D65" s="1308">
        <v>60397.2981439664</v>
      </c>
      <c r="E65" s="1308">
        <v>0</v>
      </c>
      <c r="F65" s="1308">
        <v>0</v>
      </c>
    </row>
    <row r="66" spans="1:6">
      <c r="A66" s="1307" t="s">
        <v>55</v>
      </c>
      <c r="B66" s="1307" t="s">
        <v>57</v>
      </c>
      <c r="C66" s="1308">
        <v>0</v>
      </c>
      <c r="D66" s="1308">
        <v>0</v>
      </c>
      <c r="E66" s="1308">
        <v>13</v>
      </c>
      <c r="F66" s="1308">
        <v>275911.03603594197</v>
      </c>
    </row>
    <row r="67" spans="1:6">
      <c r="A67" s="1309" t="s">
        <v>55</v>
      </c>
      <c r="B67" s="1309" t="s">
        <v>58</v>
      </c>
      <c r="C67" s="1308">
        <v>0</v>
      </c>
      <c r="D67" s="1308">
        <v>0</v>
      </c>
      <c r="E67" s="1308">
        <v>0</v>
      </c>
      <c r="F67" s="1308">
        <v>0</v>
      </c>
    </row>
    <row r="68" spans="1:6">
      <c r="A68" s="1302" t="s">
        <v>55</v>
      </c>
      <c r="B68" s="1302" t="s">
        <v>59</v>
      </c>
      <c r="C68" s="1311">
        <v>8</v>
      </c>
      <c r="D68" s="1311">
        <v>144322.20137395401</v>
      </c>
      <c r="E68" s="1311">
        <v>28</v>
      </c>
      <c r="F68" s="1311">
        <v>320079.15169377002</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116794259</v>
      </c>
      <c r="E73" s="447"/>
      <c r="F73" s="326"/>
    </row>
    <row r="74" spans="1:6">
      <c r="A74" s="1307" t="s">
        <v>63</v>
      </c>
      <c r="B74" s="1307" t="s">
        <v>639</v>
      </c>
      <c r="C74" s="1321" t="s">
        <v>641</v>
      </c>
      <c r="D74" s="1322">
        <v>16491552.553781407</v>
      </c>
      <c r="E74" s="447"/>
      <c r="F74" s="326"/>
    </row>
    <row r="75" spans="1:6">
      <c r="A75" s="1307" t="s">
        <v>64</v>
      </c>
      <c r="B75" s="1307" t="s">
        <v>638</v>
      </c>
      <c r="C75" s="1321" t="s">
        <v>642</v>
      </c>
      <c r="D75" s="1322">
        <v>31418218</v>
      </c>
      <c r="E75" s="447"/>
      <c r="F75" s="326"/>
    </row>
    <row r="76" spans="1:6">
      <c r="A76" s="1307" t="s">
        <v>64</v>
      </c>
      <c r="B76" s="1307" t="s">
        <v>639</v>
      </c>
      <c r="C76" s="1321" t="s">
        <v>643</v>
      </c>
      <c r="D76" s="1322">
        <v>3078861.553781407</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332164.89243718598</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5842.1389868102651</v>
      </c>
      <c r="C91" s="326"/>
      <c r="D91" s="326"/>
      <c r="E91" s="326"/>
      <c r="F91" s="326"/>
    </row>
    <row r="92" spans="1:6">
      <c r="A92" s="1302" t="s">
        <v>68</v>
      </c>
      <c r="B92" s="1303">
        <v>10109.208169753056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3670</v>
      </c>
      <c r="C97" s="326"/>
      <c r="D97" s="326"/>
      <c r="E97" s="326"/>
      <c r="F97" s="326"/>
    </row>
    <row r="98" spans="1:6">
      <c r="A98" s="1307" t="s">
        <v>71</v>
      </c>
      <c r="B98" s="1308">
        <v>1</v>
      </c>
      <c r="C98" s="326"/>
      <c r="D98" s="326"/>
      <c r="E98" s="326"/>
      <c r="F98" s="326"/>
    </row>
    <row r="99" spans="1:6">
      <c r="A99" s="1307" t="s">
        <v>72</v>
      </c>
      <c r="B99" s="1308">
        <v>172</v>
      </c>
      <c r="C99" s="326"/>
      <c r="D99" s="326"/>
      <c r="E99" s="326"/>
      <c r="F99" s="326"/>
    </row>
    <row r="100" spans="1:6">
      <c r="A100" s="1307" t="s">
        <v>73</v>
      </c>
      <c r="B100" s="1308">
        <v>626</v>
      </c>
      <c r="C100" s="326"/>
      <c r="D100" s="326"/>
      <c r="E100" s="326"/>
      <c r="F100" s="326"/>
    </row>
    <row r="101" spans="1:6">
      <c r="A101" s="1307" t="s">
        <v>74</v>
      </c>
      <c r="B101" s="1308">
        <v>138</v>
      </c>
      <c r="C101" s="326"/>
      <c r="D101" s="326"/>
      <c r="E101" s="326"/>
      <c r="F101" s="326"/>
    </row>
    <row r="102" spans="1:6">
      <c r="A102" s="1307" t="s">
        <v>75</v>
      </c>
      <c r="B102" s="1308">
        <v>138</v>
      </c>
      <c r="C102" s="326"/>
      <c r="D102" s="326"/>
      <c r="E102" s="326"/>
      <c r="F102" s="326"/>
    </row>
    <row r="103" spans="1:6">
      <c r="A103" s="1307" t="s">
        <v>76</v>
      </c>
      <c r="B103" s="1308">
        <v>233</v>
      </c>
      <c r="C103" s="326"/>
      <c r="D103" s="326"/>
      <c r="E103" s="326"/>
      <c r="F103" s="326"/>
    </row>
    <row r="104" spans="1:6">
      <c r="A104" s="1307" t="s">
        <v>77</v>
      </c>
      <c r="B104" s="1308">
        <v>2399</v>
      </c>
      <c r="C104" s="326"/>
      <c r="D104" s="326"/>
      <c r="E104" s="326"/>
      <c r="F104" s="326"/>
    </row>
    <row r="105" spans="1:6">
      <c r="A105" s="1302" t="s">
        <v>78</v>
      </c>
      <c r="B105" s="1311">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53</v>
      </c>
      <c r="C123" s="1308">
        <v>70</v>
      </c>
      <c r="D123" s="326"/>
      <c r="E123" s="326"/>
      <c r="F123" s="326"/>
    </row>
    <row r="124" spans="1:6" s="43" customFormat="1">
      <c r="A124" s="1309" t="s">
        <v>88</v>
      </c>
      <c r="B124" s="1330">
        <v>2</v>
      </c>
      <c r="C124" s="1330">
        <v>2</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270</v>
      </c>
      <c r="C129" s="326"/>
      <c r="D129" s="326"/>
      <c r="E129" s="326"/>
      <c r="F129" s="326"/>
    </row>
    <row r="130" spans="1:6">
      <c r="A130" s="1307" t="s">
        <v>290</v>
      </c>
      <c r="B130" s="1308">
        <v>8</v>
      </c>
      <c r="C130" s="326"/>
      <c r="D130" s="326"/>
      <c r="E130" s="326"/>
      <c r="F130" s="326"/>
    </row>
    <row r="131" spans="1:6">
      <c r="A131" s="1307" t="s">
        <v>291</v>
      </c>
      <c r="B131" s="1308">
        <v>3</v>
      </c>
      <c r="C131" s="326"/>
      <c r="D131" s="326"/>
      <c r="E131" s="326"/>
      <c r="F131" s="326"/>
    </row>
    <row r="132" spans="1:6">
      <c r="A132" s="1302" t="s">
        <v>292</v>
      </c>
      <c r="B132" s="1303">
        <v>25</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229934.52912417837</v>
      </c>
      <c r="C3" s="43" t="s">
        <v>169</v>
      </c>
      <c r="D3" s="43"/>
      <c r="E3" s="154"/>
      <c r="F3" s="43"/>
      <c r="G3" s="43"/>
      <c r="H3" s="43"/>
      <c r="I3" s="43"/>
      <c r="J3" s="43"/>
      <c r="K3" s="96"/>
    </row>
    <row r="4" spans="1:11">
      <c r="A4" s="354" t="s">
        <v>170</v>
      </c>
      <c r="B4" s="49">
        <f>IF(ISERROR('SEAP template'!B78+'SEAP template'!C78),0,'SEAP template'!B78+'SEAP template'!C78)</f>
        <v>16038.64715656332</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0.2055845639839233</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124.71428571428569</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1428.5609999999999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1428.5609999999999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0.2055845639839233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293.69009030943744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27496.4879602295</v>
      </c>
      <c r="C5" s="17">
        <f>IF(ISERROR('Eigen informatie GS &amp; warmtenet'!B59),0,'Eigen informatie GS &amp; warmtenet'!B59)</f>
        <v>0</v>
      </c>
      <c r="D5" s="30">
        <f>(SUM(HH_hh_gas_kWh,HH_rest_gas_kWh)/1000)*0.903</f>
        <v>74060.112196904171</v>
      </c>
      <c r="E5" s="17">
        <f>B32*B41</f>
        <v>1913.3309406538376</v>
      </c>
      <c r="F5" s="17">
        <f>B36*B45</f>
        <v>43459.170544971843</v>
      </c>
      <c r="G5" s="18"/>
      <c r="H5" s="17"/>
      <c r="I5" s="17"/>
      <c r="J5" s="17">
        <f>B35*B44+C35*C44</f>
        <v>217.41889783256258</v>
      </c>
      <c r="K5" s="17"/>
      <c r="L5" s="17"/>
      <c r="M5" s="17"/>
      <c r="N5" s="17">
        <f>B34*B43+C34*C43</f>
        <v>11719.820335542012</v>
      </c>
      <c r="O5" s="17">
        <f>B52*B53*B54</f>
        <v>678.5137110303649</v>
      </c>
      <c r="P5" s="17">
        <f>B60*B61*B62/1000-B60*B61*B62/1000/B63</f>
        <v>842.71674461480166</v>
      </c>
    </row>
    <row r="6" spans="1:16">
      <c r="A6" s="16" t="s">
        <v>604</v>
      </c>
      <c r="B6" s="779">
        <f>kWh_PV_kleiner_dan_10kW</f>
        <v>5842.1389868102651</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33338.626947039767</v>
      </c>
      <c r="C8" s="21">
        <f>C5</f>
        <v>0</v>
      </c>
      <c r="D8" s="21">
        <f>D5</f>
        <v>74060.112196904171</v>
      </c>
      <c r="E8" s="21">
        <f>E5</f>
        <v>1913.3309406538376</v>
      </c>
      <c r="F8" s="21">
        <f>F5</f>
        <v>43459.170544971843</v>
      </c>
      <c r="G8" s="21"/>
      <c r="H8" s="21"/>
      <c r="I8" s="21"/>
      <c r="J8" s="21">
        <f>J5</f>
        <v>217.41889783256258</v>
      </c>
      <c r="K8" s="21"/>
      <c r="L8" s="21">
        <f>L5</f>
        <v>0</v>
      </c>
      <c r="M8" s="21">
        <f>M5</f>
        <v>0</v>
      </c>
      <c r="N8" s="21">
        <f>N5</f>
        <v>11719.820335542012</v>
      </c>
      <c r="O8" s="21">
        <f>O5</f>
        <v>678.5137110303649</v>
      </c>
      <c r="P8" s="21">
        <f>P5</f>
        <v>842.71674461480166</v>
      </c>
    </row>
    <row r="9" spans="1:16">
      <c r="B9" s="19"/>
      <c r="C9" s="19"/>
      <c r="D9" s="254"/>
      <c r="E9" s="19"/>
      <c r="F9" s="19"/>
      <c r="G9" s="19"/>
      <c r="H9" s="19"/>
      <c r="I9" s="19"/>
      <c r="J9" s="19"/>
      <c r="K9" s="19"/>
      <c r="L9" s="19"/>
      <c r="M9" s="19"/>
      <c r="N9" s="19"/>
      <c r="O9" s="19"/>
      <c r="P9" s="19"/>
    </row>
    <row r="10" spans="1:16">
      <c r="A10" s="24" t="s">
        <v>213</v>
      </c>
      <c r="B10" s="25">
        <f ca="1">'EF ele_warmte'!B12</f>
        <v>0.2055845639839233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6853.9070847298462</v>
      </c>
      <c r="C12" s="23">
        <f ca="1">C10*C8</f>
        <v>0</v>
      </c>
      <c r="D12" s="23">
        <f>D8*D10</f>
        <v>14960.142663774643</v>
      </c>
      <c r="E12" s="23">
        <f>E10*E8</f>
        <v>434.32612352842114</v>
      </c>
      <c r="F12" s="23">
        <f>F10*F8</f>
        <v>11603.598535507483</v>
      </c>
      <c r="G12" s="23"/>
      <c r="H12" s="23"/>
      <c r="I12" s="23"/>
      <c r="J12" s="23">
        <f>J10*J8</f>
        <v>76.966289832727142</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8708</v>
      </c>
      <c r="C26" s="36"/>
      <c r="D26" s="225"/>
    </row>
    <row r="27" spans="1:5" s="15" customFormat="1">
      <c r="A27" s="227" t="s">
        <v>817</v>
      </c>
      <c r="B27" s="37">
        <f>SUM(HH_hh_gas_aantal,HH_rest_gas_aantal)</f>
        <v>5839</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5547.05</v>
      </c>
      <c r="C31" s="34" t="s">
        <v>110</v>
      </c>
      <c r="D31" s="171"/>
    </row>
    <row r="32" spans="1:5">
      <c r="A32" s="168" t="s">
        <v>72</v>
      </c>
      <c r="B32" s="33">
        <f>IF((B21*($B$26-($B$27-0.05*$B$27)-$B$60))&lt;0,0,B21*($B$26-($B$27-0.05*$B$27)-$B$60))</f>
        <v>47.420007561766681</v>
      </c>
      <c r="C32" s="34" t="s">
        <v>110</v>
      </c>
      <c r="D32" s="171"/>
    </row>
    <row r="33" spans="1:6">
      <c r="A33" s="168" t="s">
        <v>73</v>
      </c>
      <c r="B33" s="33">
        <f>IF((B22*($B$26-($B$27-0.05*$B$27)-$B$60))&lt;0,0,B22*($B$26-($B$27-0.05*$B$27)-$B$60))</f>
        <v>770.00700644729955</v>
      </c>
      <c r="C33" s="34" t="s">
        <v>110</v>
      </c>
      <c r="D33" s="171"/>
    </row>
    <row r="34" spans="1:6">
      <c r="A34" s="168" t="s">
        <v>74</v>
      </c>
      <c r="B34" s="33">
        <f>IF((B24*($B$26-($B$27-0.05*$B$27)-$B$60))&lt;0,0,B24*($B$26-($B$27-0.05*$B$27)-$B$60))</f>
        <v>147.49343040920633</v>
      </c>
      <c r="C34" s="33">
        <f>B26*C24</f>
        <v>1783.171122347039</v>
      </c>
      <c r="D34" s="230"/>
    </row>
    <row r="35" spans="1:6">
      <c r="A35" s="168" t="s">
        <v>76</v>
      </c>
      <c r="B35" s="33">
        <f>IF((B19*($B$26-($B$27-0.05*$B$27)-$B$60))&lt;0,0,B19*($B$26-($B$27-0.05*$B$27)-$B$60))</f>
        <v>20.61336423470755</v>
      </c>
      <c r="C35" s="33">
        <f>B35/2</f>
        <v>10.306682117353775</v>
      </c>
      <c r="D35" s="230"/>
    </row>
    <row r="36" spans="1:6">
      <c r="A36" s="168" t="s">
        <v>77</v>
      </c>
      <c r="B36" s="33">
        <f>IF((B18*($B$26-($B$27-0.05*$B$27)-$B$60))&lt;0,0,B18*($B$26-($B$27-0.05*$B$27)-$B$60))</f>
        <v>2095.4161913470189</v>
      </c>
      <c r="C36" s="34" t="s">
        <v>110</v>
      </c>
      <c r="D36" s="171"/>
    </row>
    <row r="37" spans="1:6">
      <c r="A37" s="168" t="s">
        <v>78</v>
      </c>
      <c r="B37" s="33">
        <f>B60</f>
        <v>80</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342</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80</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34516.795528116687</v>
      </c>
      <c r="C5" s="17">
        <f>IF(ISERROR('Eigen informatie GS &amp; warmtenet'!B60),0,'Eigen informatie GS &amp; warmtenet'!B60)</f>
        <v>0</v>
      </c>
      <c r="D5" s="30">
        <f>SUM(D6:D12)</f>
        <v>44554.606895508674</v>
      </c>
      <c r="E5" s="17">
        <f>SUM(E6:E12)</f>
        <v>102.8357695471165</v>
      </c>
      <c r="F5" s="17">
        <f>SUM(F6:F12)</f>
        <v>5327.8218564188692</v>
      </c>
      <c r="G5" s="18"/>
      <c r="H5" s="17"/>
      <c r="I5" s="17"/>
      <c r="J5" s="17">
        <f>SUM(J6:J12)</f>
        <v>3.7469634990820816E-2</v>
      </c>
      <c r="K5" s="17"/>
      <c r="L5" s="17"/>
      <c r="M5" s="17"/>
      <c r="N5" s="17">
        <f>SUM(N6:N12)</f>
        <v>1418.8742146337888</v>
      </c>
      <c r="O5" s="17">
        <f>B38*B39*B40</f>
        <v>39.178086126729234</v>
      </c>
      <c r="P5" s="17">
        <f>B46*B47*B48/1000-B46*B47*B48/1000/B49</f>
        <v>157.61741491948504</v>
      </c>
      <c r="R5" s="32"/>
    </row>
    <row r="6" spans="1:18">
      <c r="A6" s="32" t="s">
        <v>53</v>
      </c>
      <c r="B6" s="37">
        <f>B26</f>
        <v>6537.7265245369599</v>
      </c>
      <c r="C6" s="33"/>
      <c r="D6" s="37">
        <f>IF(ISERROR(TER_kantoor_gas_kWh/1000),0,TER_kantoor_gas_kWh/1000)*0.903</f>
        <v>12247.703256871633</v>
      </c>
      <c r="E6" s="33">
        <f>$C$26*'E Balans VL '!I12/100/3.6*1000000</f>
        <v>1.5662838760102034</v>
      </c>
      <c r="F6" s="33">
        <f>$C$26*('E Balans VL '!L12+'E Balans VL '!N12)/100/3.6*1000000</f>
        <v>619.9649275569044</v>
      </c>
      <c r="G6" s="34"/>
      <c r="H6" s="33"/>
      <c r="I6" s="33"/>
      <c r="J6" s="33">
        <f>$C$26*('E Balans VL '!D12+'E Balans VL '!E12)/100/3.6*1000000</f>
        <v>0</v>
      </c>
      <c r="K6" s="33"/>
      <c r="L6" s="33"/>
      <c r="M6" s="33"/>
      <c r="N6" s="33">
        <f>$C$26*'E Balans VL '!Y12/100/3.6*1000000</f>
        <v>3.3208269190866306</v>
      </c>
      <c r="O6" s="33"/>
      <c r="P6" s="33"/>
      <c r="R6" s="32"/>
    </row>
    <row r="7" spans="1:18">
      <c r="A7" s="32" t="s">
        <v>52</v>
      </c>
      <c r="B7" s="37">
        <f t="shared" ref="B7:B12" si="0">B27</f>
        <v>2248.40676532526</v>
      </c>
      <c r="C7" s="33"/>
      <c r="D7" s="37">
        <f>IF(ISERROR(TER_horeca_gas_kWh/1000),0,TER_horeca_gas_kWh/1000)*0.903</f>
        <v>3905.5518184440302</v>
      </c>
      <c r="E7" s="33">
        <f>$C$27*'E Balans VL '!I9/100/3.6*1000000</f>
        <v>0</v>
      </c>
      <c r="F7" s="33">
        <f>$C$27*('E Balans VL '!L9+'E Balans VL '!N9)/100/3.6*1000000</f>
        <v>184.36406945094973</v>
      </c>
      <c r="G7" s="34"/>
      <c r="H7" s="33"/>
      <c r="I7" s="33"/>
      <c r="J7" s="33">
        <f>$C$27*('E Balans VL '!D9+'E Balans VL '!E9)/100/3.6*1000000</f>
        <v>0</v>
      </c>
      <c r="K7" s="33"/>
      <c r="L7" s="33"/>
      <c r="M7" s="33"/>
      <c r="N7" s="33">
        <f>$C$27*'E Balans VL '!Y9/100/3.6*1000000</f>
        <v>0.68922700793147196</v>
      </c>
      <c r="O7" s="33"/>
      <c r="P7" s="33"/>
      <c r="R7" s="32"/>
    </row>
    <row r="8" spans="1:18">
      <c r="A8" s="6" t="s">
        <v>51</v>
      </c>
      <c r="B8" s="37">
        <f t="shared" si="0"/>
        <v>13353.4019410737</v>
      </c>
      <c r="C8" s="33"/>
      <c r="D8" s="37">
        <f>IF(ISERROR(TER_handel_gas_kWh/1000),0,TER_handel_gas_kWh/1000)*0.903</f>
        <v>8096.0926777329032</v>
      </c>
      <c r="E8" s="33">
        <f>$C$28*'E Balans VL '!I13/100/3.6*1000000</f>
        <v>46.92990947961632</v>
      </c>
      <c r="F8" s="33">
        <f>$C$28*('E Balans VL '!L13+'E Balans VL '!N13)/100/3.6*1000000</f>
        <v>1221.812297136368</v>
      </c>
      <c r="G8" s="34"/>
      <c r="H8" s="33"/>
      <c r="I8" s="33"/>
      <c r="J8" s="33">
        <f>$C$28*('E Balans VL '!D13+'E Balans VL '!E13)/100/3.6*1000000</f>
        <v>0</v>
      </c>
      <c r="K8" s="33"/>
      <c r="L8" s="33"/>
      <c r="M8" s="33"/>
      <c r="N8" s="33">
        <f>$C$28*'E Balans VL '!Y13/100/3.6*1000000</f>
        <v>4.8360272975884522</v>
      </c>
      <c r="O8" s="33"/>
      <c r="P8" s="33"/>
      <c r="R8" s="32"/>
    </row>
    <row r="9" spans="1:18">
      <c r="A9" s="32" t="s">
        <v>50</v>
      </c>
      <c r="B9" s="37">
        <f t="shared" si="0"/>
        <v>6959.8651396404193</v>
      </c>
      <c r="C9" s="33"/>
      <c r="D9" s="37">
        <f>IF(ISERROR(TER_gezond_gas_kWh/1000),0,TER_gezond_gas_kWh/1000)*0.903</f>
        <v>9530.1398331733435</v>
      </c>
      <c r="E9" s="33">
        <f>$C$29*'E Balans VL '!I10/100/3.6*1000000</f>
        <v>0</v>
      </c>
      <c r="F9" s="33">
        <f>$C$29*('E Balans VL '!L10+'E Balans VL '!N10)/100/3.6*1000000</f>
        <v>853.15166247632214</v>
      </c>
      <c r="G9" s="34"/>
      <c r="H9" s="33"/>
      <c r="I9" s="33"/>
      <c r="J9" s="33">
        <f>$C$29*('E Balans VL '!D10+'E Balans VL '!E10)/100/3.6*1000000</f>
        <v>0</v>
      </c>
      <c r="K9" s="33"/>
      <c r="L9" s="33"/>
      <c r="M9" s="33"/>
      <c r="N9" s="33">
        <f>$C$29*'E Balans VL '!Y10/100/3.6*1000000</f>
        <v>51.324155389172311</v>
      </c>
      <c r="O9" s="33"/>
      <c r="P9" s="33"/>
      <c r="R9" s="32"/>
    </row>
    <row r="10" spans="1:18">
      <c r="A10" s="32" t="s">
        <v>49</v>
      </c>
      <c r="B10" s="37">
        <f t="shared" si="0"/>
        <v>3794.0783230597303</v>
      </c>
      <c r="C10" s="33"/>
      <c r="D10" s="37">
        <f>IF(ISERROR(TER_ander_gas_kWh/1000),0,TER_ander_gas_kWh/1000)*0.903</f>
        <v>5144.9368263493525</v>
      </c>
      <c r="E10" s="33">
        <f>$C$30*'E Balans VL '!I14/100/3.6*1000000</f>
        <v>54.339576191489975</v>
      </c>
      <c r="F10" s="33">
        <f>$C$30*('E Balans VL '!L14+'E Balans VL '!N14)/100/3.6*1000000</f>
        <v>2258.7438307205894</v>
      </c>
      <c r="G10" s="34"/>
      <c r="H10" s="33"/>
      <c r="I10" s="33"/>
      <c r="J10" s="33">
        <f>$C$30*('E Balans VL '!D14+'E Balans VL '!E14)/100/3.6*1000000</f>
        <v>3.7469634990820816E-2</v>
      </c>
      <c r="K10" s="33"/>
      <c r="L10" s="33"/>
      <c r="M10" s="33"/>
      <c r="N10" s="33">
        <f>$C$30*'E Balans VL '!Y14/100/3.6*1000000</f>
        <v>1354.1329042215607</v>
      </c>
      <c r="O10" s="33"/>
      <c r="P10" s="33"/>
      <c r="R10" s="32"/>
    </row>
    <row r="11" spans="1:18">
      <c r="A11" s="32" t="s">
        <v>54</v>
      </c>
      <c r="B11" s="37">
        <f t="shared" si="0"/>
        <v>1623.3168344806099</v>
      </c>
      <c r="C11" s="33"/>
      <c r="D11" s="37">
        <f>IF(ISERROR(TER_onderwijs_gas_kWh/1000),0,TER_onderwijs_gas_kWh/1000)*0.903</f>
        <v>5630.1824829374191</v>
      </c>
      <c r="E11" s="33">
        <f>$C$31*'E Balans VL '!I11/100/3.6*1000000</f>
        <v>0</v>
      </c>
      <c r="F11" s="33">
        <f>$C$31*('E Balans VL '!L11+'E Balans VL '!N11)/100/3.6*1000000</f>
        <v>189.78506907773456</v>
      </c>
      <c r="G11" s="34"/>
      <c r="H11" s="33"/>
      <c r="I11" s="33"/>
      <c r="J11" s="33">
        <f>$C$31*('E Balans VL '!D11+'E Balans VL '!E11)/100/3.6*1000000</f>
        <v>0</v>
      </c>
      <c r="K11" s="33"/>
      <c r="L11" s="33"/>
      <c r="M11" s="33"/>
      <c r="N11" s="33">
        <f>$C$31*'E Balans VL '!Y11/100/3.6*1000000</f>
        <v>4.5710737984492464</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energieproductie'!N39+'lokale energieproductie'!N32</f>
        <v>0</v>
      </c>
      <c r="C13" s="243">
        <f ca="1">'lokale energieproductie'!O39+'lokale energieproductie'!O32</f>
        <v>0</v>
      </c>
      <c r="D13" s="304">
        <f ca="1">('lokale energieproductie'!P32+'lokale energieproductie'!P39)*(-1)</f>
        <v>0</v>
      </c>
      <c r="E13" s="244"/>
      <c r="F13" s="304">
        <f ca="1">('lokale energieproductie'!S32+'lokale energieproductie'!S39)*(-1)</f>
        <v>0</v>
      </c>
      <c r="G13" s="245"/>
      <c r="H13" s="244"/>
      <c r="I13" s="244"/>
      <c r="J13" s="244"/>
      <c r="K13" s="244"/>
      <c r="L13" s="304">
        <f ca="1">('lokale energieproductie'!U32+'lokale energieproductie'!T32+'lokale energieproductie'!U39+'lokale energieproductie'!T39)*(-1)</f>
        <v>0</v>
      </c>
      <c r="M13" s="244"/>
      <c r="N13" s="304">
        <f ca="1">('lokale energieproductie'!Q32+'lokale energieproductie'!R32+'lokale energieproductie'!V32+'lokale energieproductie'!Q39+'lokale energieproductie'!R39+'lokale energieproductie'!V39)*(-1)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34516.795528116687</v>
      </c>
      <c r="C16" s="21">
        <f t="shared" ca="1" si="1"/>
        <v>0</v>
      </c>
      <c r="D16" s="21">
        <f t="shared" ca="1" si="1"/>
        <v>44554.606895508674</v>
      </c>
      <c r="E16" s="21">
        <f t="shared" si="1"/>
        <v>102.8357695471165</v>
      </c>
      <c r="F16" s="21">
        <f t="shared" ca="1" si="1"/>
        <v>5327.8218564188692</v>
      </c>
      <c r="G16" s="21">
        <f t="shared" si="1"/>
        <v>0</v>
      </c>
      <c r="H16" s="21">
        <f t="shared" si="1"/>
        <v>0</v>
      </c>
      <c r="I16" s="21">
        <f t="shared" si="1"/>
        <v>0</v>
      </c>
      <c r="J16" s="21">
        <f t="shared" si="1"/>
        <v>3.7469634990820816E-2</v>
      </c>
      <c r="K16" s="21">
        <f t="shared" si="1"/>
        <v>0</v>
      </c>
      <c r="L16" s="21">
        <f t="shared" ca="1" si="1"/>
        <v>0</v>
      </c>
      <c r="M16" s="21">
        <f t="shared" si="1"/>
        <v>0</v>
      </c>
      <c r="N16" s="21">
        <f t="shared" ca="1" si="1"/>
        <v>1418.8742146337888</v>
      </c>
      <c r="O16" s="21">
        <f>O5</f>
        <v>39.178086126729234</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0.2055845639839233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7096.1203587701029</v>
      </c>
      <c r="C20" s="23">
        <f t="shared" ref="C20:P20" ca="1" si="2">C16*C18</f>
        <v>0</v>
      </c>
      <c r="D20" s="23">
        <f t="shared" ca="1" si="2"/>
        <v>9000.0305928927519</v>
      </c>
      <c r="E20" s="23">
        <f t="shared" si="2"/>
        <v>23.343719687195446</v>
      </c>
      <c r="F20" s="23">
        <f t="shared" ca="1" si="2"/>
        <v>1422.5284356638381</v>
      </c>
      <c r="G20" s="23">
        <f t="shared" si="2"/>
        <v>0</v>
      </c>
      <c r="H20" s="23">
        <f t="shared" si="2"/>
        <v>0</v>
      </c>
      <c r="I20" s="23">
        <f t="shared" si="2"/>
        <v>0</v>
      </c>
      <c r="J20" s="23">
        <f t="shared" si="2"/>
        <v>1.3264250786750567E-2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6537.7265245369599</v>
      </c>
      <c r="C26" s="39">
        <f>IF(ISERROR(B26*3.6/1000000/'E Balans VL '!Z12*100),0,B26*3.6/1000000/'E Balans VL '!Z12*100)</f>
        <v>0.1843812007683282</v>
      </c>
      <c r="D26" s="233" t="s">
        <v>691</v>
      </c>
      <c r="F26" s="6"/>
    </row>
    <row r="27" spans="1:18">
      <c r="A27" s="228" t="s">
        <v>52</v>
      </c>
      <c r="B27" s="33">
        <f>IF(ISERROR(TER_horeca_ele_kWh/1000),0,TER_horeca_ele_kWh/1000)</f>
        <v>2248.40676532526</v>
      </c>
      <c r="C27" s="39">
        <f>IF(ISERROR(B27*3.6/1000000/'E Balans VL '!Z9*100),0,B27*3.6/1000000/'E Balans VL '!Z9*100)</f>
        <v>0.16669174069747358</v>
      </c>
      <c r="D27" s="233" t="s">
        <v>691</v>
      </c>
      <c r="F27" s="6"/>
    </row>
    <row r="28" spans="1:18">
      <c r="A28" s="168" t="s">
        <v>51</v>
      </c>
      <c r="B28" s="33">
        <f>IF(ISERROR(TER_handel_ele_kWh/1000),0,TER_handel_ele_kWh/1000)</f>
        <v>13353.4019410737</v>
      </c>
      <c r="C28" s="39">
        <f>IF(ISERROR(B28*3.6/1000000/'E Balans VL '!Z13*100),0,B28*3.6/1000000/'E Balans VL '!Z13*100)</f>
        <v>0.40003617325608265</v>
      </c>
      <c r="D28" s="233" t="s">
        <v>691</v>
      </c>
      <c r="F28" s="6"/>
    </row>
    <row r="29" spans="1:18">
      <c r="A29" s="228" t="s">
        <v>50</v>
      </c>
      <c r="B29" s="33">
        <f>IF(ISERROR(TER_gezond_ele_kWh/1000),0,TER_gezond_ele_kWh/1000)</f>
        <v>6959.8651396404193</v>
      </c>
      <c r="C29" s="39">
        <f>IF(ISERROR(B29*3.6/1000000/'E Balans VL '!Z10*100),0,B29*3.6/1000000/'E Balans VL '!Z10*100)</f>
        <v>0.68819419291364525</v>
      </c>
      <c r="D29" s="233" t="s">
        <v>691</v>
      </c>
      <c r="F29" s="6"/>
    </row>
    <row r="30" spans="1:18">
      <c r="A30" s="228" t="s">
        <v>49</v>
      </c>
      <c r="B30" s="33">
        <f>IF(ISERROR(TER_ander_ele_kWh/1000),0,TER_ander_ele_kWh/1000)</f>
        <v>3794.0783230597303</v>
      </c>
      <c r="C30" s="39">
        <f>IF(ISERROR(B30*3.6/1000000/'E Balans VL '!Z14*100),0,B30*3.6/1000000/'E Balans VL '!Z14*100)</f>
        <v>0.15345925593510229</v>
      </c>
      <c r="D30" s="233" t="s">
        <v>691</v>
      </c>
      <c r="F30" s="6"/>
    </row>
    <row r="31" spans="1:18">
      <c r="A31" s="228" t="s">
        <v>54</v>
      </c>
      <c r="B31" s="33">
        <f>IF(ISERROR(TER_onderwijs_ele_kWh/1000),0,TER_onderwijs_ele_kWh/1000)</f>
        <v>1623.3168344806099</v>
      </c>
      <c r="C31" s="39">
        <f>IF(ISERROR(B31*3.6/1000000/'E Balans VL '!Z11*100),0,B31*3.6/1000000/'E Balans VL '!Z11*100)</f>
        <v>0.44599612960275464</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8</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3</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145186.46031863944</v>
      </c>
      <c r="C5" s="17">
        <f>IF(ISERROR('Eigen informatie GS &amp; warmtenet'!B61),0,'Eigen informatie GS &amp; warmtenet'!B61)</f>
        <v>0</v>
      </c>
      <c r="D5" s="30">
        <f>SUM(D6:D15)</f>
        <v>186821.78081700313</v>
      </c>
      <c r="E5" s="17">
        <f>SUM(E6:E15)</f>
        <v>388.43888150514681</v>
      </c>
      <c r="F5" s="17">
        <f>SUM(F6:F15)</f>
        <v>41623.928855393191</v>
      </c>
      <c r="G5" s="18"/>
      <c r="H5" s="17"/>
      <c r="I5" s="17"/>
      <c r="J5" s="17">
        <f>SUM(J6:J15)</f>
        <v>4.2662295763145517</v>
      </c>
      <c r="K5" s="17"/>
      <c r="L5" s="17"/>
      <c r="M5" s="17"/>
      <c r="N5" s="17">
        <f>SUM(N6:N15)</f>
        <v>6164.992041585775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4758.8725166759905</v>
      </c>
      <c r="C8" s="33"/>
      <c r="D8" s="37">
        <f>IF( ISERROR(IND_metaal_Gas_kWH/1000),0,IND_metaal_Gas_kWH/1000)*0.903</f>
        <v>1691.4717157830194</v>
      </c>
      <c r="E8" s="33">
        <f>C30*'E Balans VL '!I18/100/3.6*1000000</f>
        <v>23.99506555394866</v>
      </c>
      <c r="F8" s="33">
        <f>C30*'E Balans VL '!L18/100/3.6*1000000+C30*'E Balans VL '!N18/100/3.6*1000000</f>
        <v>325.13589486223634</v>
      </c>
      <c r="G8" s="34"/>
      <c r="H8" s="33"/>
      <c r="I8" s="33"/>
      <c r="J8" s="40">
        <f>C30*'E Balans VL '!D18/100/3.6*1000000+C30*'E Balans VL '!E18/100/3.6*1000000</f>
        <v>4.2191464230884135</v>
      </c>
      <c r="K8" s="33"/>
      <c r="L8" s="33"/>
      <c r="M8" s="33"/>
      <c r="N8" s="33">
        <f>C30*'E Balans VL '!Y18/100/3.6*1000000</f>
        <v>63.245443988282737</v>
      </c>
      <c r="O8" s="33"/>
      <c r="P8" s="33"/>
      <c r="R8" s="32"/>
    </row>
    <row r="9" spans="1:18">
      <c r="A9" s="6" t="s">
        <v>32</v>
      </c>
      <c r="B9" s="37">
        <f t="shared" si="0"/>
        <v>65157.643869272404</v>
      </c>
      <c r="C9" s="33"/>
      <c r="D9" s="37">
        <f>IF( ISERROR(IND_andere_gas_kWh/1000),0,IND_andere_gas_kWh/1000)*0.903</f>
        <v>60011.777528453982</v>
      </c>
      <c r="E9" s="33">
        <f>C31*'E Balans VL '!I19/100/3.6*1000000</f>
        <v>205.39229304887871</v>
      </c>
      <c r="F9" s="33">
        <f>C31*'E Balans VL '!L19/100/3.6*1000000+C31*'E Balans VL '!N19/100/3.6*1000000</f>
        <v>39886.769130229208</v>
      </c>
      <c r="G9" s="34"/>
      <c r="H9" s="33"/>
      <c r="I9" s="33"/>
      <c r="J9" s="40">
        <f>C31*'E Balans VL '!D19/100/3.6*1000000+C31*'E Balans VL '!E19/100/3.6*1000000</f>
        <v>0</v>
      </c>
      <c r="K9" s="33"/>
      <c r="L9" s="33"/>
      <c r="M9" s="33"/>
      <c r="N9" s="33">
        <f>C31*'E Balans VL '!Y19/100/3.6*1000000</f>
        <v>2732.1484798468555</v>
      </c>
      <c r="O9" s="33"/>
      <c r="P9" s="33"/>
      <c r="R9" s="32"/>
    </row>
    <row r="10" spans="1:18">
      <c r="A10" s="6" t="s">
        <v>40</v>
      </c>
      <c r="B10" s="37">
        <f t="shared" si="0"/>
        <v>18622.102848363702</v>
      </c>
      <c r="C10" s="33"/>
      <c r="D10" s="37">
        <f>IF( ISERROR(IND_voed_gas_kWh/1000),0,IND_voed_gas_kWh/1000)*0.903</f>
        <v>17176.286913883589</v>
      </c>
      <c r="E10" s="33">
        <f>C32*'E Balans VL '!I20/100/3.6*1000000</f>
        <v>29.678402049230506</v>
      </c>
      <c r="F10" s="33">
        <f>C32*'E Balans VL '!L20/100/3.6*1000000+C32*'E Balans VL '!N20/100/3.6*1000000</f>
        <v>302.56393307015338</v>
      </c>
      <c r="G10" s="34"/>
      <c r="H10" s="33"/>
      <c r="I10" s="33"/>
      <c r="J10" s="40">
        <f>C32*'E Balans VL '!D20/100/3.6*1000000+C32*'E Balans VL '!E20/100/3.6*1000000</f>
        <v>0</v>
      </c>
      <c r="K10" s="33"/>
      <c r="L10" s="33"/>
      <c r="M10" s="33"/>
      <c r="N10" s="33">
        <f>C32*'E Balans VL '!Y20/100/3.6*1000000</f>
        <v>588.17901365890862</v>
      </c>
      <c r="O10" s="33"/>
      <c r="P10" s="33"/>
      <c r="R10" s="32"/>
    </row>
    <row r="11" spans="1:18">
      <c r="A11" s="6" t="s">
        <v>39</v>
      </c>
      <c r="B11" s="37">
        <f t="shared" si="0"/>
        <v>55332.016378745306</v>
      </c>
      <c r="C11" s="33"/>
      <c r="D11" s="37">
        <f>IF( ISERROR(IND_textiel_gas_kWh/1000),0,IND_textiel_gas_kWh/1000)*0.903</f>
        <v>87438.550669162752</v>
      </c>
      <c r="E11" s="33">
        <f>C33*'E Balans VL '!I21/100/3.6*1000000</f>
        <v>80.276645021278497</v>
      </c>
      <c r="F11" s="33">
        <f>C33*'E Balans VL '!L21/100/3.6*1000000+C33*'E Balans VL '!N21/100/3.6*1000000</f>
        <v>1082.8831123021596</v>
      </c>
      <c r="G11" s="34"/>
      <c r="H11" s="33"/>
      <c r="I11" s="33"/>
      <c r="J11" s="40">
        <f>C33*'E Balans VL '!D21/100/3.6*1000000+C33*'E Balans VL '!E21/100/3.6*1000000</f>
        <v>0</v>
      </c>
      <c r="K11" s="33"/>
      <c r="L11" s="33"/>
      <c r="M11" s="33"/>
      <c r="N11" s="33">
        <f>C33*'E Balans VL '!Y21/100/3.6*1000000</f>
        <v>2695.6502595791417</v>
      </c>
      <c r="O11" s="33"/>
      <c r="P11" s="33"/>
      <c r="R11" s="32"/>
    </row>
    <row r="12" spans="1:18">
      <c r="A12" s="6" t="s">
        <v>36</v>
      </c>
      <c r="B12" s="37">
        <f t="shared" si="0"/>
        <v>500.21692649134303</v>
      </c>
      <c r="C12" s="33"/>
      <c r="D12" s="37">
        <f>IF( ISERROR(IND_min_gas_kWh/1000),0,IND_min_gas_kWh/1000)*0.903</f>
        <v>93.290434104590929</v>
      </c>
      <c r="E12" s="33">
        <f>C34*'E Balans VL '!I22/100/3.6*1000000</f>
        <v>2.1645740917918972</v>
      </c>
      <c r="F12" s="33">
        <f>C34*'E Balans VL '!L22/100/3.6*1000000+C34*'E Balans VL '!N22/100/3.6*1000000</f>
        <v>19.098899735893418</v>
      </c>
      <c r="G12" s="34"/>
      <c r="H12" s="33"/>
      <c r="I12" s="33"/>
      <c r="J12" s="40">
        <f>C34*'E Balans VL '!D22/100/3.6*1000000+C34*'E Balans VL '!E22/100/3.6*1000000</f>
        <v>0</v>
      </c>
      <c r="K12" s="33"/>
      <c r="L12" s="33"/>
      <c r="M12" s="33"/>
      <c r="N12" s="33">
        <f>C34*'E Balans VL '!Y22/100/3.6*1000000</f>
        <v>85.325739559839647</v>
      </c>
      <c r="O12" s="33"/>
      <c r="P12" s="33"/>
      <c r="R12" s="32"/>
    </row>
    <row r="13" spans="1:18">
      <c r="A13" s="6" t="s">
        <v>38</v>
      </c>
      <c r="B13" s="37">
        <f t="shared" si="0"/>
        <v>0</v>
      </c>
      <c r="C13" s="33"/>
      <c r="D13" s="37">
        <f>IF( ISERROR(IND_papier_gas_kWh/1000),0,IND_papier_gas_kWh/1000)*0.903</f>
        <v>20396.98576763321</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792.54543111454097</v>
      </c>
      <c r="C14" s="33"/>
      <c r="D14" s="37">
        <f>IF( ISERROR(IND_chemie_gas_kWh/1000),0,IND_chemie_gas_kWh/1000)*0.903</f>
        <v>0</v>
      </c>
      <c r="E14" s="33">
        <f>C36*'E Balans VL '!I24/100/3.6*1000000</f>
        <v>46.350597133765696</v>
      </c>
      <c r="F14" s="33">
        <f>C36*'E Balans VL '!L24/100/3.6*1000000+C36*'E Balans VL '!N24/100/3.6*1000000</f>
        <v>5.6056533570516809</v>
      </c>
      <c r="G14" s="34"/>
      <c r="H14" s="33"/>
      <c r="I14" s="33"/>
      <c r="J14" s="40">
        <f>C36*'E Balans VL '!D24/100/3.6*1000000+C36*'E Balans VL '!E24/100/3.6*1000000</f>
        <v>0</v>
      </c>
      <c r="K14" s="33"/>
      <c r="L14" s="33"/>
      <c r="M14" s="33"/>
      <c r="N14" s="33">
        <f>C36*'E Balans VL '!Y24/100/3.6*1000000</f>
        <v>5.3414498739782081E-2</v>
      </c>
      <c r="O14" s="33"/>
      <c r="P14" s="33"/>
      <c r="R14" s="32"/>
    </row>
    <row r="15" spans="1:18">
      <c r="A15" s="6" t="s">
        <v>265</v>
      </c>
      <c r="B15" s="37">
        <f t="shared" si="0"/>
        <v>23.062347976130898</v>
      </c>
      <c r="C15" s="33"/>
      <c r="D15" s="37">
        <f>IF( ISERROR(IND_rest_gas_kWh/1000),0,IND_rest_gas_kWh/1000)*0.903</f>
        <v>13.417787982019249</v>
      </c>
      <c r="E15" s="33">
        <f>C37*'E Balans VL '!I15/100/3.6*1000000</f>
        <v>0.58130460625286939</v>
      </c>
      <c r="F15" s="33">
        <f>C37*'E Balans VL '!L15/100/3.6*1000000+C37*'E Balans VL '!N15/100/3.6*1000000</f>
        <v>1.8722318364903179</v>
      </c>
      <c r="G15" s="34"/>
      <c r="H15" s="33"/>
      <c r="I15" s="33"/>
      <c r="J15" s="40">
        <f>C37*'E Balans VL '!D15/100/3.6*1000000+C37*'E Balans VL '!E15/100/3.6*1000000</f>
        <v>4.7083153226138326E-2</v>
      </c>
      <c r="K15" s="33"/>
      <c r="L15" s="33"/>
      <c r="M15" s="33"/>
      <c r="N15" s="33">
        <f>C37*'E Balans VL '!Y15/100/3.6*1000000</f>
        <v>0.3896904540082724</v>
      </c>
      <c r="O15" s="33"/>
      <c r="P15" s="33"/>
      <c r="R15" s="32"/>
    </row>
    <row r="16" spans="1:18">
      <c r="A16" s="16" t="s">
        <v>473</v>
      </c>
      <c r="B16" s="243">
        <f>'lokale energieproductie'!N38+'lokale energieproductie'!N31</f>
        <v>0</v>
      </c>
      <c r="C16" s="243">
        <f>'lokale energieproductie'!O38+'lokale energieproductie'!O31</f>
        <v>0</v>
      </c>
      <c r="D16" s="304">
        <f>('lokale energieproductie'!P31+'lokale energieproductie'!P38)*(-1)</f>
        <v>0</v>
      </c>
      <c r="E16" s="244"/>
      <c r="F16" s="304">
        <f>('lokale energieproductie'!S31+'lokale energieproductie'!S38)*(-1)</f>
        <v>0</v>
      </c>
      <c r="G16" s="245"/>
      <c r="H16" s="244"/>
      <c r="I16" s="244"/>
      <c r="J16" s="244"/>
      <c r="K16" s="244"/>
      <c r="L16" s="304">
        <f>('lokale energieproductie'!T31+'lokale energieproductie'!U31+'lokale energieproductie'!T38+'lokale energieproductie'!U38)*(-1)</f>
        <v>0</v>
      </c>
      <c r="M16" s="244"/>
      <c r="N16" s="304">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145186.46031863944</v>
      </c>
      <c r="C18" s="21">
        <f>C5+C16</f>
        <v>0</v>
      </c>
      <c r="D18" s="21">
        <f>MAX((D5+D16),0)</f>
        <v>186821.78081700313</v>
      </c>
      <c r="E18" s="21">
        <f>MAX((E5+E16),0)</f>
        <v>388.43888150514681</v>
      </c>
      <c r="F18" s="21">
        <f>MAX((F5+F16),0)</f>
        <v>41623.928855393191</v>
      </c>
      <c r="G18" s="21"/>
      <c r="H18" s="21"/>
      <c r="I18" s="21"/>
      <c r="J18" s="21">
        <f>MAX((J5+J16),0)</f>
        <v>4.2662295763145517</v>
      </c>
      <c r="K18" s="21"/>
      <c r="L18" s="21">
        <f>MAX((L5+L16),0)</f>
        <v>0</v>
      </c>
      <c r="M18" s="21"/>
      <c r="N18" s="21">
        <f>MAX((N5+N16),0)</f>
        <v>6164.992041585775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0.2055845639839233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29848.095140976671</v>
      </c>
      <c r="C22" s="23">
        <f ca="1">C18*C20</f>
        <v>0</v>
      </c>
      <c r="D22" s="23">
        <f>D18*D20</f>
        <v>37737.999725034635</v>
      </c>
      <c r="E22" s="23">
        <f>E18*E20</f>
        <v>88.175626101668328</v>
      </c>
      <c r="F22" s="23">
        <f>F18*F20</f>
        <v>11113.589004389984</v>
      </c>
      <c r="G22" s="23"/>
      <c r="H22" s="23"/>
      <c r="I22" s="23"/>
      <c r="J22" s="23">
        <f>J18*J20</f>
        <v>1.5102452700153512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4758.8725166759905</v>
      </c>
      <c r="C30" s="39">
        <f>IF(ISERROR(B30*3.6/1000000/'E Balans VL '!Z18*100),0,B30*3.6/1000000/'E Balans VL '!Z18*100)</f>
        <v>0.23621970642485604</v>
      </c>
      <c r="D30" s="233" t="s">
        <v>691</v>
      </c>
    </row>
    <row r="31" spans="1:18">
      <c r="A31" s="6" t="s">
        <v>32</v>
      </c>
      <c r="B31" s="37">
        <f>IF( ISERROR(IND_ander_ele_kWh/1000),0,IND_ander_ele_kWh/1000)</f>
        <v>65157.643869272404</v>
      </c>
      <c r="C31" s="39">
        <f>IF(ISERROR(B31*3.6/1000000/'E Balans VL '!Z19*100),0,B31*3.6/1000000/'E Balans VL '!Z19*100)</f>
        <v>2.1987365921614046</v>
      </c>
      <c r="D31" s="233" t="s">
        <v>691</v>
      </c>
    </row>
    <row r="32" spans="1:18">
      <c r="A32" s="168" t="s">
        <v>40</v>
      </c>
      <c r="B32" s="37">
        <f>IF( ISERROR(IND_voed_ele_kWh/1000),0,IND_voed_ele_kWh/1000)</f>
        <v>18622.102848363702</v>
      </c>
      <c r="C32" s="39">
        <f>IF(ISERROR(B32*3.6/1000000/'E Balans VL '!Z20*100),0,B32*3.6/1000000/'E Balans VL '!Z20*100)</f>
        <v>0.43732729350426225</v>
      </c>
      <c r="D32" s="233" t="s">
        <v>691</v>
      </c>
    </row>
    <row r="33" spans="1:5">
      <c r="A33" s="168" t="s">
        <v>39</v>
      </c>
      <c r="B33" s="37">
        <f>IF( ISERROR(IND_textiel_ele_kWh/1000),0,IND_textiel_ele_kWh/1000)</f>
        <v>55332.016378745306</v>
      </c>
      <c r="C33" s="39">
        <f>IF(ISERROR(B33*3.6/1000000/'E Balans VL '!Z21*100),0,B33*3.6/1000000/'E Balans VL '!Z21*100)</f>
        <v>6.0726186609918589</v>
      </c>
      <c r="D33" s="233" t="s">
        <v>691</v>
      </c>
    </row>
    <row r="34" spans="1:5">
      <c r="A34" s="168" t="s">
        <v>36</v>
      </c>
      <c r="B34" s="37">
        <f>IF( ISERROR(IND_min_ele_kWh/1000),0,IND_min_ele_kWh/1000)</f>
        <v>500.21692649134303</v>
      </c>
      <c r="C34" s="39">
        <f>IF(ISERROR(B34*3.6/1000000/'E Balans VL '!Z22*100),0,B34*3.6/1000000/'E Balans VL '!Z22*100)</f>
        <v>7.0966154800360004E-2</v>
      </c>
      <c r="D34" s="233" t="s">
        <v>691</v>
      </c>
    </row>
    <row r="35" spans="1:5">
      <c r="A35" s="168" t="s">
        <v>38</v>
      </c>
      <c r="B35" s="37">
        <f>IF( ISERROR(IND_papier_ele_kWh/1000),0,IND_papier_ele_kWh/1000)</f>
        <v>0</v>
      </c>
      <c r="C35" s="39">
        <f>IF(ISERROR(B35*3.6/1000000/'E Balans VL '!Z22*100),0,B35*3.6/1000000/'E Balans VL '!Z22*100)</f>
        <v>0</v>
      </c>
      <c r="D35" s="233" t="s">
        <v>691</v>
      </c>
    </row>
    <row r="36" spans="1:5">
      <c r="A36" s="168" t="s">
        <v>33</v>
      </c>
      <c r="B36" s="37">
        <f>IF( ISERROR(IND_chemie_ele_kWh/1000),0,IND_chemie_ele_kWh/1000)</f>
        <v>792.54543111454097</v>
      </c>
      <c r="C36" s="39">
        <f>IF(ISERROR(B36*3.6/1000000/'E Balans VL '!Z24*100),0,B36*3.6/1000000/'E Balans VL '!Z24*100)</f>
        <v>7.2371921514194221E-3</v>
      </c>
      <c r="D36" s="233" t="s">
        <v>691</v>
      </c>
    </row>
    <row r="37" spans="1:5">
      <c r="A37" s="168" t="s">
        <v>265</v>
      </c>
      <c r="B37" s="37">
        <f>IF( ISERROR(IND_rest_ele_kWh/1000),0,IND_rest_ele_kWh/1000)</f>
        <v>23.062347976130898</v>
      </c>
      <c r="C37" s="39">
        <f>IF(ISERROR(B37*3.6/1000000/'E Balans VL '!Z15*100),0,B37*3.6/1000000/'E Balans VL '!Z15*100)</f>
        <v>8.642682252313214E-5</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14324.377646442801</v>
      </c>
      <c r="C5" s="17">
        <f>'Eigen informatie GS &amp; warmtenet'!B62</f>
        <v>0</v>
      </c>
      <c r="D5" s="30">
        <f>IF(ISERROR(SUM(LB_lb_gas_kWh,LB_rest_gas_kWh)/1000),0,SUM(LB_lb_gas_kWh,LB_rest_gas_kWh)/1000)*0.903</f>
        <v>551.1251154424549</v>
      </c>
      <c r="E5" s="17">
        <f>B17*'E Balans VL '!I25/3.6*1000000/100</f>
        <v>534.19985758148493</v>
      </c>
      <c r="F5" s="17">
        <f>B17*('E Balans VL '!L25/3.6*1000000+'E Balans VL '!N25/3.6*1000000)/100</f>
        <v>46473.816242463785</v>
      </c>
      <c r="G5" s="18"/>
      <c r="H5" s="17"/>
      <c r="I5" s="17"/>
      <c r="J5" s="17">
        <f>('E Balans VL '!D25+'E Balans VL '!E25)/3.6*1000000*landbouw!B17/100</f>
        <v>3760.2198503134223</v>
      </c>
      <c r="K5" s="17"/>
      <c r="L5" s="17">
        <f>L6*(-1)</f>
        <v>0</v>
      </c>
      <c r="M5" s="17"/>
      <c r="N5" s="17">
        <f>N6*(-1)</f>
        <v>249.42857142857139</v>
      </c>
      <c r="O5" s="17"/>
      <c r="P5" s="17"/>
      <c r="R5" s="32"/>
    </row>
    <row r="6" spans="1:18">
      <c r="A6" s="16" t="s">
        <v>473</v>
      </c>
      <c r="B6" s="17" t="s">
        <v>210</v>
      </c>
      <c r="C6" s="17">
        <f>'lokale energieproductie'!O40+'lokale energieproductie'!O33</f>
        <v>124.71428571428569</v>
      </c>
      <c r="D6" s="304">
        <f>('lokale energieproductie'!P33+'lokale energieproductie'!P40)*(-1)</f>
        <v>0</v>
      </c>
      <c r="E6" s="244"/>
      <c r="F6" s="304">
        <f>('lokale energieproductie'!S33+'lokale energieproductie'!S40)*(-1)</f>
        <v>0</v>
      </c>
      <c r="G6" s="245"/>
      <c r="H6" s="244"/>
      <c r="I6" s="244"/>
      <c r="J6" s="244"/>
      <c r="K6" s="244"/>
      <c r="L6" s="304">
        <f>('lokale energieproductie'!T33+'lokale energieproductie'!U33+'lokale energieproductie'!T40+'lokale energieproductie'!U40)*(-1)</f>
        <v>0</v>
      </c>
      <c r="M6" s="244"/>
      <c r="N6" s="304">
        <f>('lokale energieproductie'!V33+'lokale energieproductie'!R33+'lokale energieproductie'!Q33+'lokale energieproductie'!Q40+'lokale energieproductie'!R40+'lokale energieproductie'!V40)*(-1)</f>
        <v>-249.42857142857139</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14324.377646442801</v>
      </c>
      <c r="C8" s="21">
        <f>C5+C6</f>
        <v>124.71428571428569</v>
      </c>
      <c r="D8" s="21">
        <f>MAX((D5+D6),0)</f>
        <v>551.1251154424549</v>
      </c>
      <c r="E8" s="21">
        <f>MAX((E5+E6),0)</f>
        <v>534.19985758148493</v>
      </c>
      <c r="F8" s="21">
        <f>MAX((F5+F6),0)</f>
        <v>46473.816242463785</v>
      </c>
      <c r="G8" s="21"/>
      <c r="H8" s="21"/>
      <c r="I8" s="21"/>
      <c r="J8" s="21">
        <f>MAX((J5+J6),0)</f>
        <v>3760.2198503134223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0.2055845639839233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2944.8709327850006</v>
      </c>
      <c r="C12" s="23">
        <f ca="1">C8*C10</f>
        <v>0</v>
      </c>
      <c r="D12" s="23">
        <f>D8*D10</f>
        <v>111.32727331937589</v>
      </c>
      <c r="E12" s="23">
        <f>E8*E10</f>
        <v>121.26336767099708</v>
      </c>
      <c r="F12" s="23">
        <f>F8*F10</f>
        <v>12408.508936737831</v>
      </c>
      <c r="G12" s="23"/>
      <c r="H12" s="23"/>
      <c r="I12" s="23"/>
      <c r="J12" s="23">
        <f>J8*J10</f>
        <v>1331.1178270109515</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1.9674158900125396</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1318.1915961985524</v>
      </c>
      <c r="C26" s="243">
        <f>B26*'GWP N2O_CH4'!B5</f>
        <v>27682.023520169598</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882.46713735299068</v>
      </c>
      <c r="C27" s="243">
        <f>B27*'GWP N2O_CH4'!B5</f>
        <v>18531.809884412804</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20.415070124448992</v>
      </c>
      <c r="C28" s="243">
        <f>B28*'GWP N2O_CH4'!B4</f>
        <v>6328.6717385791871</v>
      </c>
      <c r="D28" s="50"/>
    </row>
    <row r="29" spans="1:4">
      <c r="A29" s="41" t="s">
        <v>272</v>
      </c>
      <c r="B29" s="243">
        <f>B34*'ha_N2O bodem landbouw'!B4</f>
        <v>32.940716898826025</v>
      </c>
      <c r="C29" s="243">
        <f>B29*'GWP N2O_CH4'!B4</f>
        <v>10211.622238636068</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7.5072834537329809E-3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7.951991122992758E-4</v>
      </c>
      <c r="C5" s="434" t="s">
        <v>210</v>
      </c>
      <c r="D5" s="419">
        <f>SUM(D6:D11)</f>
        <v>1.4764347080141842E-3</v>
      </c>
      <c r="E5" s="419">
        <f>SUM(E6:E11)</f>
        <v>8.1011802721015153E-4</v>
      </c>
      <c r="F5" s="432" t="s">
        <v>210</v>
      </c>
      <c r="G5" s="419">
        <f>SUM(G6:G11)</f>
        <v>0.43351817149952199</v>
      </c>
      <c r="H5" s="419">
        <f>SUM(H6:H11)</f>
        <v>8.9609893510437591E-2</v>
      </c>
      <c r="I5" s="434" t="s">
        <v>210</v>
      </c>
      <c r="J5" s="434" t="s">
        <v>210</v>
      </c>
      <c r="K5" s="434" t="s">
        <v>210</v>
      </c>
      <c r="L5" s="434" t="s">
        <v>210</v>
      </c>
      <c r="M5" s="419">
        <f>SUM(M6:M11)</f>
        <v>3.0636999606147741E-2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5.8294903935865959E-4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1.0129821404197142E-3</v>
      </c>
      <c r="E6" s="885">
        <f>vkm_GW_PW*SUMIFS(TableVerdeelsleutelVkm[LPG],TableVerdeelsleutelVkm[Voertuigtype],"Lichte voertuigen")*SUMIFS(TableECFTransport[EnergieConsumptieFactor (PJ per km)],TableECFTransport[Index],CONCATENATE($A6,"_LPG_LPG"))</f>
        <v>5.632841500205543E-4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0.16927224275479189</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6.1717225590580321E-2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1.382067083478335E-2</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3.817497374120334E-6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0.15799666418662744</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1.6073264056567676E-6</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8.8954557776624657E-3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2.0771987457254696E-4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4.634525675944699E-4</v>
      </c>
      <c r="E8" s="422">
        <f>vkm_NGW_PW*SUMIFS(TableVerdeelsleutelVkm[LPG],TableVerdeelsleutelVkm[Voertuigtype],"Lichte voertuigen")*SUMIFS(TableECFTransport[EnergieConsumptieFactor (PJ per km)],TableECFTransport[Index],CONCATENATE($A8,"_LPG_LPG"))</f>
        <v>2.4683387718959718E-4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6.8264115104467046E-2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2.7890698392870131E-2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5.7822522019840691E-3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7.1270099394890271E-7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3.7985149453635604E-2</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3.622005814825239E-7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2.1386207917178548E-3</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220.88864230535438</v>
      </c>
      <c r="C14" s="21"/>
      <c r="D14" s="21">
        <f t="shared" ref="D14:M14" si="0">((D5)*10^9/3600)+D12</f>
        <v>410.12075222616227</v>
      </c>
      <c r="E14" s="21">
        <f t="shared" si="0"/>
        <v>225.03278533615321</v>
      </c>
      <c r="F14" s="21"/>
      <c r="G14" s="21">
        <f t="shared" si="0"/>
        <v>120421.71430542276</v>
      </c>
      <c r="H14" s="21">
        <f t="shared" si="0"/>
        <v>24891.637086232666</v>
      </c>
      <c r="I14" s="21"/>
      <c r="J14" s="21"/>
      <c r="K14" s="21"/>
      <c r="L14" s="21"/>
      <c r="M14" s="21">
        <f t="shared" si="0"/>
        <v>8510.2776683743723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0.2055845639839233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45.411295217347075</v>
      </c>
      <c r="C18" s="23"/>
      <c r="D18" s="23">
        <f t="shared" ref="D18:M18" si="1">D14*D16</f>
        <v>82.844391949684777</v>
      </c>
      <c r="E18" s="23">
        <f t="shared" si="1"/>
        <v>51.082442271306782</v>
      </c>
      <c r="F18" s="23"/>
      <c r="G18" s="23">
        <f t="shared" si="1"/>
        <v>32152.597719547881</v>
      </c>
      <c r="H18" s="23">
        <f t="shared" si="1"/>
        <v>6198.0176344719339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5.6573675164343475E-5</v>
      </c>
      <c r="C50" s="315">
        <f t="shared" ref="C50:P50" si="2">SUM(C51:C52)</f>
        <v>0</v>
      </c>
      <c r="D50" s="315">
        <f t="shared" si="2"/>
        <v>0</v>
      </c>
      <c r="E50" s="315">
        <f t="shared" si="2"/>
        <v>0</v>
      </c>
      <c r="F50" s="315">
        <f t="shared" si="2"/>
        <v>0</v>
      </c>
      <c r="G50" s="315">
        <f t="shared" si="2"/>
        <v>4.0381269443682741E-3</v>
      </c>
      <c r="H50" s="315">
        <f t="shared" si="2"/>
        <v>0</v>
      </c>
      <c r="I50" s="315">
        <f t="shared" si="2"/>
        <v>0</v>
      </c>
      <c r="J50" s="315">
        <f t="shared" si="2"/>
        <v>0</v>
      </c>
      <c r="K50" s="315">
        <f t="shared" si="2"/>
        <v>0</v>
      </c>
      <c r="L50" s="315">
        <f t="shared" si="2"/>
        <v>0</v>
      </c>
      <c r="M50" s="315">
        <f t="shared" si="2"/>
        <v>2.2297969164582711E-4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5.6573675164343475E-5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4.0381269443682741E-3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2.2297969164582711E-4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15.714909767873188</v>
      </c>
      <c r="C54" s="21">
        <f t="shared" ref="C54:P54" si="3">(C50)*10^9/3600</f>
        <v>0</v>
      </c>
      <c r="D54" s="21">
        <f t="shared" si="3"/>
        <v>0</v>
      </c>
      <c r="E54" s="21">
        <f t="shared" si="3"/>
        <v>0</v>
      </c>
      <c r="F54" s="21">
        <f t="shared" si="3"/>
        <v>0</v>
      </c>
      <c r="G54" s="21">
        <f t="shared" si="3"/>
        <v>1121.7019289911873</v>
      </c>
      <c r="H54" s="21">
        <f t="shared" si="3"/>
        <v>0</v>
      </c>
      <c r="I54" s="21">
        <f t="shared" si="3"/>
        <v>0</v>
      </c>
      <c r="J54" s="21">
        <f t="shared" si="3"/>
        <v>0</v>
      </c>
      <c r="K54" s="21">
        <f t="shared" si="3"/>
        <v>0</v>
      </c>
      <c r="L54" s="21">
        <f t="shared" si="3"/>
        <v>0</v>
      </c>
      <c r="M54" s="21">
        <f t="shared" si="3"/>
        <v>61.938803234951976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0.2055845639839233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3.2307428726749068</v>
      </c>
      <c r="C58" s="23">
        <f t="shared" ref="C58:P58" ca="1" si="4">C54*C56</f>
        <v>0</v>
      </c>
      <c r="D58" s="23">
        <f t="shared" si="4"/>
        <v>0</v>
      </c>
      <c r="E58" s="23">
        <f t="shared" si="4"/>
        <v>0</v>
      </c>
      <c r="F58" s="23">
        <f t="shared" si="4"/>
        <v>0</v>
      </c>
      <c r="G58" s="23">
        <f t="shared" si="4"/>
        <v>299.49441504064703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85" zoomScale="65" zoomScaleNormal="65" workbookViewId="0">
      <selection activeCell="M29" sqref="M2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15951.347156563321</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N30</f>
        <v>87.299999999999983</v>
      </c>
      <c r="C8" s="544">
        <f>B49</f>
        <v>0</v>
      </c>
      <c r="D8" s="545"/>
      <c r="E8" s="545">
        <f>E49</f>
        <v>0</v>
      </c>
      <c r="F8" s="546"/>
      <c r="G8" s="547"/>
      <c r="H8" s="545">
        <f>I49</f>
        <v>0</v>
      </c>
      <c r="I8" s="545">
        <f>G49+F49</f>
        <v>0</v>
      </c>
      <c r="J8" s="545">
        <f>H49+D49+C49</f>
        <v>102.70588235294116</v>
      </c>
      <c r="K8" s="545"/>
      <c r="L8" s="545"/>
      <c r="M8" s="545"/>
      <c r="N8" s="548"/>
      <c r="O8" s="549">
        <f>C8*$C$12+D8*$D$12+E8*$E$12+F8*$F$12+G8*$G$12+H8*$H$12+I8*$I$12+J8*$J$12</f>
        <v>0</v>
      </c>
      <c r="P8" s="1253"/>
      <c r="Q8" s="1254"/>
      <c r="S8" s="539"/>
      <c r="T8" s="1241"/>
      <c r="U8" s="1241"/>
    </row>
    <row r="9" spans="1:21" s="530" customFormat="1" ht="17.45" customHeight="1" thickBot="1">
      <c r="A9" s="550" t="s">
        <v>243</v>
      </c>
      <c r="B9" s="551">
        <f>N37+'Eigen informatie GS &amp; warmtenet'!B12</f>
        <v>0</v>
      </c>
      <c r="C9" s="552">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16038.64715656332</v>
      </c>
      <c r="C10" s="559">
        <f t="shared" ref="C10:L10" si="0">SUM(C8:C9)</f>
        <v>0</v>
      </c>
      <c r="D10" s="559">
        <f t="shared" si="0"/>
        <v>0</v>
      </c>
      <c r="E10" s="559">
        <f t="shared" si="0"/>
        <v>0</v>
      </c>
      <c r="F10" s="559">
        <f t="shared" si="0"/>
        <v>0</v>
      </c>
      <c r="G10" s="559">
        <f t="shared" si="0"/>
        <v>0</v>
      </c>
      <c r="H10" s="559">
        <f t="shared" si="0"/>
        <v>0</v>
      </c>
      <c r="I10" s="559">
        <f t="shared" si="0"/>
        <v>0</v>
      </c>
      <c r="J10" s="559">
        <f t="shared" si="0"/>
        <v>102.70588235294116</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O30</f>
        <v>124.71428571428569</v>
      </c>
      <c r="C17" s="575">
        <f>B50</f>
        <v>0</v>
      </c>
      <c r="D17" s="576"/>
      <c r="E17" s="576">
        <f>E50</f>
        <v>0</v>
      </c>
      <c r="F17" s="577"/>
      <c r="G17" s="578"/>
      <c r="H17" s="575">
        <f>I50</f>
        <v>0</v>
      </c>
      <c r="I17" s="576">
        <f>G50+F50</f>
        <v>0</v>
      </c>
      <c r="J17" s="576">
        <f>H50+D50+C50</f>
        <v>146.72268907563023</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124.71428571428569</v>
      </c>
      <c r="C20" s="558">
        <f>SUM(C17:C19)</f>
        <v>0</v>
      </c>
      <c r="D20" s="558">
        <f t="shared" ref="D20:L20" si="1">SUM(D17:D19)</f>
        <v>0</v>
      </c>
      <c r="E20" s="558">
        <f t="shared" si="1"/>
        <v>0</v>
      </c>
      <c r="F20" s="558">
        <f t="shared" si="1"/>
        <v>0</v>
      </c>
      <c r="G20" s="558">
        <f t="shared" si="1"/>
        <v>0</v>
      </c>
      <c r="H20" s="558">
        <f t="shared" si="1"/>
        <v>0</v>
      </c>
      <c r="I20" s="558">
        <f t="shared" si="1"/>
        <v>0</v>
      </c>
      <c r="J20" s="558">
        <f t="shared" si="1"/>
        <v>146.72268907563023</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38.25">
      <c r="A28" s="588"/>
      <c r="B28" s="786">
        <v>37015</v>
      </c>
      <c r="C28" s="786">
        <v>8700</v>
      </c>
      <c r="D28" s="636"/>
      <c r="E28" s="635"/>
      <c r="F28" s="635" t="s">
        <v>883</v>
      </c>
      <c r="G28" s="635" t="s">
        <v>884</v>
      </c>
      <c r="H28" s="635" t="s">
        <v>885</v>
      </c>
      <c r="I28" s="635" t="s">
        <v>886</v>
      </c>
      <c r="J28" s="785">
        <v>42427</v>
      </c>
      <c r="K28" s="785">
        <v>42427</v>
      </c>
      <c r="L28" s="635" t="s">
        <v>887</v>
      </c>
      <c r="M28" s="635">
        <v>9.6999999999999993</v>
      </c>
      <c r="N28" s="635">
        <v>43.649999999999991</v>
      </c>
      <c r="O28" s="635">
        <v>62.357142857142847</v>
      </c>
      <c r="P28" s="635">
        <v>0</v>
      </c>
      <c r="Q28" s="635">
        <v>124.71428571428569</v>
      </c>
      <c r="R28" s="635">
        <v>0</v>
      </c>
      <c r="S28" s="635">
        <v>0</v>
      </c>
      <c r="T28" s="635">
        <v>0</v>
      </c>
      <c r="U28" s="635">
        <v>0</v>
      </c>
      <c r="V28" s="635">
        <v>0</v>
      </c>
      <c r="W28" s="635">
        <v>0</v>
      </c>
      <c r="X28" s="635">
        <v>10</v>
      </c>
      <c r="Y28" s="635" t="s">
        <v>111</v>
      </c>
      <c r="Z28" s="637" t="s">
        <v>111</v>
      </c>
    </row>
    <row r="29" spans="1:26" s="589" customFormat="1" ht="38.25">
      <c r="A29" s="588"/>
      <c r="B29" s="786">
        <v>37015</v>
      </c>
      <c r="C29" s="786">
        <v>8700</v>
      </c>
      <c r="D29" s="636"/>
      <c r="E29" s="635"/>
      <c r="F29" s="635" t="s">
        <v>888</v>
      </c>
      <c r="G29" s="635" t="s">
        <v>884</v>
      </c>
      <c r="H29" s="635" t="s">
        <v>885</v>
      </c>
      <c r="I29" s="635" t="s">
        <v>889</v>
      </c>
      <c r="J29" s="785">
        <v>42426</v>
      </c>
      <c r="K29" s="785">
        <v>42426</v>
      </c>
      <c r="L29" s="635" t="s">
        <v>887</v>
      </c>
      <c r="M29" s="635">
        <v>9.6999999999999993</v>
      </c>
      <c r="N29" s="635">
        <v>43.649999999999991</v>
      </c>
      <c r="O29" s="635">
        <v>62.357142857142847</v>
      </c>
      <c r="P29" s="635">
        <v>0</v>
      </c>
      <c r="Q29" s="635">
        <v>124.71428571428569</v>
      </c>
      <c r="R29" s="635">
        <v>0</v>
      </c>
      <c r="S29" s="635">
        <v>0</v>
      </c>
      <c r="T29" s="635">
        <v>0</v>
      </c>
      <c r="U29" s="635">
        <v>0</v>
      </c>
      <c r="V29" s="635">
        <v>0</v>
      </c>
      <c r="W29" s="635">
        <v>0</v>
      </c>
      <c r="X29" s="635">
        <v>10</v>
      </c>
      <c r="Y29" s="635" t="s">
        <v>111</v>
      </c>
      <c r="Z29" s="637" t="s">
        <v>111</v>
      </c>
    </row>
    <row r="30" spans="1:26" s="569" customFormat="1">
      <c r="A30" s="591" t="s">
        <v>275</v>
      </c>
      <c r="B30" s="592"/>
      <c r="C30" s="592"/>
      <c r="D30" s="592"/>
      <c r="E30" s="592"/>
      <c r="F30" s="592"/>
      <c r="G30" s="592"/>
      <c r="H30" s="592"/>
      <c r="I30" s="592"/>
      <c r="J30" s="592"/>
      <c r="K30" s="592"/>
      <c r="L30" s="593"/>
      <c r="M30" s="593">
        <f>SUM(M28:M29)</f>
        <v>19.399999999999999</v>
      </c>
      <c r="N30" s="593">
        <f>SUM(N28:N29)</f>
        <v>87.299999999999983</v>
      </c>
      <c r="O30" s="593">
        <f>SUM(O28:O29)</f>
        <v>124.71428571428569</v>
      </c>
      <c r="P30" s="593">
        <f>SUM(P28:P29)</f>
        <v>0</v>
      </c>
      <c r="Q30" s="593">
        <f>SUM(Q28:Q29)</f>
        <v>249.42857142857139</v>
      </c>
      <c r="R30" s="593">
        <f>SUM(R28:R29)</f>
        <v>0</v>
      </c>
      <c r="S30" s="593">
        <f>SUM(S28:S29)</f>
        <v>0</v>
      </c>
      <c r="T30" s="593">
        <f>SUM(T28:T29)</f>
        <v>0</v>
      </c>
      <c r="U30" s="593">
        <f>SUM(U28:U29)</f>
        <v>0</v>
      </c>
      <c r="V30" s="593">
        <f>SUM(V28:V29)</f>
        <v>0</v>
      </c>
      <c r="W30" s="593">
        <f>SUM(W28:W29)</f>
        <v>0</v>
      </c>
      <c r="X30" s="594"/>
      <c r="Y30" s="594"/>
      <c r="Z30" s="595"/>
    </row>
    <row r="31" spans="1:26" s="569" customFormat="1">
      <c r="A31" s="591" t="s">
        <v>282</v>
      </c>
      <c r="B31" s="592"/>
      <c r="C31" s="592"/>
      <c r="D31" s="592"/>
      <c r="E31" s="592"/>
      <c r="F31" s="592"/>
      <c r="G31" s="592"/>
      <c r="H31" s="592"/>
      <c r="I31" s="592"/>
      <c r="J31" s="592"/>
      <c r="K31" s="592"/>
      <c r="L31" s="593"/>
      <c r="M31" s="593">
        <f>SUMIF($Z$28:$Z$29,"industrie",M28:M29)</f>
        <v>0</v>
      </c>
      <c r="N31" s="593">
        <f>SUMIF($Z$28:$Z$29,"industrie",N28:N29)</f>
        <v>0</v>
      </c>
      <c r="O31" s="593">
        <f>SUMIF($Z$28:$Z$29,"industrie",O28:O29)</f>
        <v>0</v>
      </c>
      <c r="P31" s="593">
        <f>SUMIF($Z$28:$Z$29,"industrie",P28:P29)</f>
        <v>0</v>
      </c>
      <c r="Q31" s="593">
        <f>SUMIF($Z$28:$Z$29,"industrie",Q28:Q29)</f>
        <v>0</v>
      </c>
      <c r="R31" s="593">
        <f>SUMIF($Z$28:$Z$29,"industrie",R28:R29)</f>
        <v>0</v>
      </c>
      <c r="S31" s="593">
        <f>SUMIF($Z$28:$Z$29,"industrie",S28:S29)</f>
        <v>0</v>
      </c>
      <c r="T31" s="593">
        <f>SUMIF($Z$28:$Z$29,"industrie",T28:T29)</f>
        <v>0</v>
      </c>
      <c r="U31" s="593">
        <f>SUMIF($Z$28:$Z$29,"industrie",U28:U29)</f>
        <v>0</v>
      </c>
      <c r="V31" s="593">
        <f>SUMIF($Z$28:$Z$29,"industrie",V28:V29)</f>
        <v>0</v>
      </c>
      <c r="W31" s="593">
        <f>SUMIF($Z$28:$Z$29,"industrie",W28:W29)</f>
        <v>0</v>
      </c>
      <c r="X31" s="594"/>
      <c r="Y31" s="594"/>
      <c r="Z31" s="595"/>
    </row>
    <row r="32" spans="1:26" s="569" customFormat="1">
      <c r="A32" s="591" t="s">
        <v>283</v>
      </c>
      <c r="B32" s="592"/>
      <c r="C32" s="592"/>
      <c r="D32" s="592"/>
      <c r="E32" s="592"/>
      <c r="F32" s="592"/>
      <c r="G32" s="592"/>
      <c r="H32" s="592"/>
      <c r="I32" s="592"/>
      <c r="J32" s="592"/>
      <c r="K32" s="592"/>
      <c r="L32" s="593"/>
      <c r="M32" s="593">
        <f ca="1">SUMIF($Z$28:AC29,"tertiair",M28:M29)</f>
        <v>0</v>
      </c>
      <c r="N32" s="593">
        <f ca="1">SUMIF($Z$28:AD29,"tertiair",N28:N29)</f>
        <v>0</v>
      </c>
      <c r="O32" s="593">
        <f ca="1">SUMIF($Z$28:AE29,"tertiair",O28:O29)</f>
        <v>0</v>
      </c>
      <c r="P32" s="593">
        <f ca="1">SUMIF($Z$28:AF29,"tertiair",P28:P29)</f>
        <v>0</v>
      </c>
      <c r="Q32" s="593">
        <f ca="1">SUMIF($Z$28:AG29,"tertiair",Q28:Q29)</f>
        <v>0</v>
      </c>
      <c r="R32" s="593">
        <f ca="1">SUMIF($Z$28:AH29,"tertiair",R28:R29)</f>
        <v>0</v>
      </c>
      <c r="S32" s="593">
        <f ca="1">SUMIF($Z$28:AI29,"tertiair",S28:S29)</f>
        <v>0</v>
      </c>
      <c r="T32" s="593">
        <f ca="1">SUMIF($Z$28:AJ29,"tertiair",T28:T29)</f>
        <v>0</v>
      </c>
      <c r="U32" s="593">
        <f ca="1">SUMIF($Z$28:AK29,"tertiair",U28:U29)</f>
        <v>0</v>
      </c>
      <c r="V32" s="593">
        <f ca="1">SUMIF($Z$28:AL29,"tertiair",V28:V29)</f>
        <v>0</v>
      </c>
      <c r="W32" s="593">
        <f ca="1">SUMIF($Z$28:AM29,"tertiair",W28:W29)</f>
        <v>0</v>
      </c>
      <c r="X32" s="594"/>
      <c r="Y32" s="594"/>
      <c r="Z32" s="595"/>
    </row>
    <row r="33" spans="1:27" s="569" customFormat="1" ht="15.75" thickBot="1">
      <c r="A33" s="596" t="s">
        <v>284</v>
      </c>
      <c r="B33" s="597"/>
      <c r="C33" s="597"/>
      <c r="D33" s="597"/>
      <c r="E33" s="597"/>
      <c r="F33" s="597"/>
      <c r="G33" s="597"/>
      <c r="H33" s="597"/>
      <c r="I33" s="597"/>
      <c r="J33" s="597"/>
      <c r="K33" s="597"/>
      <c r="L33" s="598"/>
      <c r="M33" s="598">
        <f>SUMIF($Z$28:$Z$29,"landbouw",M28:M29)</f>
        <v>19.399999999999999</v>
      </c>
      <c r="N33" s="598">
        <f>SUMIF($Z$28:$Z$29,"landbouw",N28:N29)</f>
        <v>87.299999999999983</v>
      </c>
      <c r="O33" s="598">
        <f>SUMIF($Z$28:$Z$29,"landbouw",O28:O29)</f>
        <v>124.71428571428569</v>
      </c>
      <c r="P33" s="598">
        <f>SUMIF($Z$28:$Z$29,"landbouw",P28:P29)</f>
        <v>0</v>
      </c>
      <c r="Q33" s="598">
        <f>SUMIF($Z$28:$Z$29,"landbouw",Q28:Q29)</f>
        <v>249.42857142857139</v>
      </c>
      <c r="R33" s="598">
        <f>SUMIF($Z$28:$Z$29,"landbouw",R28:R29)</f>
        <v>0</v>
      </c>
      <c r="S33" s="598">
        <f>SUMIF($Z$28:$Z$29,"landbouw",S28:S29)</f>
        <v>0</v>
      </c>
      <c r="T33" s="598">
        <f>SUMIF($Z$28:$Z$29,"landbouw",T28:T29)</f>
        <v>0</v>
      </c>
      <c r="U33" s="598">
        <f>SUMIF($Z$28:$Z$29,"landbouw",U28:U29)</f>
        <v>0</v>
      </c>
      <c r="V33" s="598">
        <f>SUMIF($Z$28:$Z$29,"landbouw",V28:V29)</f>
        <v>0</v>
      </c>
      <c r="W33" s="598">
        <f>SUMIF($Z$28:$Z$29,"landbouw",W28:W29)</f>
        <v>0</v>
      </c>
      <c r="X33" s="599"/>
      <c r="Y33" s="599"/>
      <c r="Z33" s="600"/>
    </row>
    <row r="34" spans="1:27" s="530" customFormat="1" ht="15.75" thickBot="1">
      <c r="A34" s="601"/>
      <c r="B34" s="602"/>
      <c r="C34" s="602"/>
      <c r="D34" s="602"/>
      <c r="E34" s="602"/>
      <c r="F34" s="602"/>
      <c r="G34" s="602"/>
      <c r="H34" s="602"/>
      <c r="I34" s="602"/>
      <c r="J34" s="602"/>
      <c r="K34" s="602"/>
      <c r="L34" s="585"/>
      <c r="M34" s="585"/>
      <c r="N34" s="585"/>
      <c r="O34" s="586"/>
      <c r="P34" s="586"/>
    </row>
    <row r="35" spans="1:27" s="530" customFormat="1" ht="45">
      <c r="A35" s="603" t="s">
        <v>276</v>
      </c>
      <c r="B35" s="632" t="s">
        <v>89</v>
      </c>
      <c r="C35" s="632" t="s">
        <v>90</v>
      </c>
      <c r="D35" s="632" t="s">
        <v>91</v>
      </c>
      <c r="E35" s="632" t="s">
        <v>92</v>
      </c>
      <c r="F35" s="632" t="s">
        <v>93</v>
      </c>
      <c r="G35" s="632" t="s">
        <v>94</v>
      </c>
      <c r="H35" s="632" t="s">
        <v>95</v>
      </c>
      <c r="I35" s="632" t="s">
        <v>96</v>
      </c>
      <c r="J35" s="632" t="s">
        <v>97</v>
      </c>
      <c r="K35" s="632" t="s">
        <v>98</v>
      </c>
      <c r="L35" s="632" t="s">
        <v>99</v>
      </c>
      <c r="M35" s="633" t="s">
        <v>293</v>
      </c>
      <c r="N35" s="633" t="s">
        <v>100</v>
      </c>
      <c r="O35" s="633" t="s">
        <v>101</v>
      </c>
      <c r="P35" s="633" t="s">
        <v>518</v>
      </c>
      <c r="Q35" s="633" t="s">
        <v>102</v>
      </c>
      <c r="R35" s="633" t="s">
        <v>103</v>
      </c>
      <c r="S35" s="633" t="s">
        <v>104</v>
      </c>
      <c r="T35" s="633" t="s">
        <v>105</v>
      </c>
      <c r="U35" s="633" t="s">
        <v>106</v>
      </c>
      <c r="V35" s="633" t="s">
        <v>107</v>
      </c>
      <c r="W35" s="632" t="s">
        <v>108</v>
      </c>
      <c r="X35" s="632" t="s">
        <v>294</v>
      </c>
      <c r="Y35" s="632" t="s">
        <v>109</v>
      </c>
      <c r="Z35" s="634" t="s">
        <v>295</v>
      </c>
    </row>
    <row r="36" spans="1:27" s="604" customFormat="1" ht="12.75">
      <c r="A36" s="590"/>
      <c r="B36" s="786"/>
      <c r="C36" s="786"/>
      <c r="D36" s="638"/>
      <c r="E36" s="638"/>
      <c r="F36" s="638"/>
      <c r="G36" s="638"/>
      <c r="H36" s="638"/>
      <c r="I36" s="638"/>
      <c r="J36" s="785"/>
      <c r="K36" s="785"/>
      <c r="L36" s="638"/>
      <c r="M36" s="638"/>
      <c r="N36" s="638"/>
      <c r="O36" s="638"/>
      <c r="P36" s="638"/>
      <c r="Q36" s="638"/>
      <c r="R36" s="638"/>
      <c r="S36" s="638"/>
      <c r="T36" s="638"/>
      <c r="U36" s="638"/>
      <c r="V36" s="638"/>
      <c r="W36" s="638"/>
      <c r="X36" s="638"/>
      <c r="Y36" s="638"/>
      <c r="Z36" s="639"/>
    </row>
    <row r="37" spans="1:27" s="569" customFormat="1">
      <c r="A37" s="591" t="s">
        <v>275</v>
      </c>
      <c r="B37" s="592"/>
      <c r="C37" s="592"/>
      <c r="D37" s="592"/>
      <c r="E37" s="592"/>
      <c r="F37" s="592"/>
      <c r="G37" s="592"/>
      <c r="H37" s="592"/>
      <c r="I37" s="592"/>
      <c r="J37" s="592"/>
      <c r="K37" s="592"/>
      <c r="L37" s="593"/>
      <c r="M37" s="593">
        <f>SUM(M36:M36)</f>
        <v>0</v>
      </c>
      <c r="N37" s="593">
        <f>SUM(N36:N36)</f>
        <v>0</v>
      </c>
      <c r="O37" s="593">
        <f>SUM(O36:O36)</f>
        <v>0</v>
      </c>
      <c r="P37" s="593">
        <f>SUM(P36:P36)</f>
        <v>0</v>
      </c>
      <c r="Q37" s="593">
        <f>SUM(Q36:Q36)</f>
        <v>0</v>
      </c>
      <c r="R37" s="593">
        <f>SUM(R36:R36)</f>
        <v>0</v>
      </c>
      <c r="S37" s="593">
        <f>SUM(S36:S36)</f>
        <v>0</v>
      </c>
      <c r="T37" s="593">
        <f>SUM(T36:T36)</f>
        <v>0</v>
      </c>
      <c r="U37" s="593">
        <f>SUM(U36:U36)</f>
        <v>0</v>
      </c>
      <c r="V37" s="593">
        <f>SUM(V36:V36)</f>
        <v>0</v>
      </c>
      <c r="W37" s="593">
        <f>SUM(W36:W36)</f>
        <v>0</v>
      </c>
      <c r="X37" s="594"/>
      <c r="Y37" s="594"/>
      <c r="Z37" s="595"/>
    </row>
    <row r="38" spans="1:27" s="569" customFormat="1">
      <c r="A38" s="591" t="s">
        <v>282</v>
      </c>
      <c r="B38" s="592"/>
      <c r="C38" s="592"/>
      <c r="D38" s="592"/>
      <c r="E38" s="592"/>
      <c r="F38" s="592"/>
      <c r="G38" s="592"/>
      <c r="H38" s="592"/>
      <c r="I38" s="592"/>
      <c r="J38" s="592"/>
      <c r="K38" s="592"/>
      <c r="L38" s="593"/>
      <c r="M38" s="593">
        <f>SUMIF($Z$36:$Z$36,"industrie",M36:M36)</f>
        <v>0</v>
      </c>
      <c r="N38" s="593">
        <f>SUMIF($Z$36:$Z$36,"industrie",N36:N36)</f>
        <v>0</v>
      </c>
      <c r="O38" s="593">
        <f>SUMIF($Z$36:$Z$36,"industrie",O36:O36)</f>
        <v>0</v>
      </c>
      <c r="P38" s="593">
        <f>SUMIF($Z$36:$Z$36,"industrie",P36:P36)</f>
        <v>0</v>
      </c>
      <c r="Q38" s="593">
        <f>SUMIF($Z$36:$Z$36,"industrie",Q36:Q36)</f>
        <v>0</v>
      </c>
      <c r="R38" s="593">
        <f>SUMIF($Z$36:$Z$36,"industrie",R36:R36)</f>
        <v>0</v>
      </c>
      <c r="S38" s="593">
        <f>SUMIF($Z$36:$Z$36,"industrie",S36:S36)</f>
        <v>0</v>
      </c>
      <c r="T38" s="593">
        <f>SUMIF($Z$36:$Z$36,"industrie",T36:T36)</f>
        <v>0</v>
      </c>
      <c r="U38" s="593">
        <f>SUMIF($Z$36:$Z$36,"industrie",U36:U36)</f>
        <v>0</v>
      </c>
      <c r="V38" s="593">
        <f>SUMIF($Z$36:$Z$36,"industrie",V36:V36)</f>
        <v>0</v>
      </c>
      <c r="W38" s="593">
        <f>SUMIF($Z$36:$Z$36,"industrie",W36:W36)</f>
        <v>0</v>
      </c>
      <c r="X38" s="594"/>
      <c r="Y38" s="594"/>
      <c r="Z38" s="595"/>
    </row>
    <row r="39" spans="1:27" s="569" customFormat="1">
      <c r="A39" s="591" t="s">
        <v>283</v>
      </c>
      <c r="B39" s="592"/>
      <c r="C39" s="592"/>
      <c r="D39" s="592"/>
      <c r="E39" s="592"/>
      <c r="F39" s="592"/>
      <c r="G39" s="592"/>
      <c r="H39" s="592"/>
      <c r="I39" s="592"/>
      <c r="J39" s="592"/>
      <c r="K39" s="592"/>
      <c r="L39" s="593"/>
      <c r="M39" s="593">
        <f>SUMIF($Z$36:$Z$37,"tertiair",M36:M37)</f>
        <v>0</v>
      </c>
      <c r="N39" s="593">
        <f>SUMIF($Z$36:$Z$37,"tertiair",N36:N37)</f>
        <v>0</v>
      </c>
      <c r="O39" s="593">
        <f>SUMIF($Z$36:$Z$37,"tertiair",O36:O37)</f>
        <v>0</v>
      </c>
      <c r="P39" s="593">
        <f>SUMIF($Z$36:$Z$37,"tertiair",P36:P37)</f>
        <v>0</v>
      </c>
      <c r="Q39" s="593">
        <f>SUMIF($Z$36:$Z$37,"tertiair",Q36:Q37)</f>
        <v>0</v>
      </c>
      <c r="R39" s="593">
        <f>SUMIF($Z$36:$Z$37,"tertiair",R36:R37)</f>
        <v>0</v>
      </c>
      <c r="S39" s="593">
        <f>SUMIF($Z$36:$Z$37,"tertiair",S36:S37)</f>
        <v>0</v>
      </c>
      <c r="T39" s="593">
        <f>SUMIF($Z$36:$Z$37,"tertiair",T36:T37)</f>
        <v>0</v>
      </c>
      <c r="U39" s="593">
        <f>SUMIF($Z$36:$Z$37,"tertiair",U36:U37)</f>
        <v>0</v>
      </c>
      <c r="V39" s="593">
        <f>SUMIF($Z$36:$Z$37,"tertiair",V36:V37)</f>
        <v>0</v>
      </c>
      <c r="W39" s="593">
        <f>SUMIF($Z$36:$Z$37,"tertiair",W36:W37)</f>
        <v>0</v>
      </c>
      <c r="X39" s="594"/>
      <c r="Y39" s="594"/>
      <c r="Z39" s="595"/>
    </row>
    <row r="40" spans="1:27" s="569" customFormat="1" ht="15.75" thickBot="1">
      <c r="A40" s="596" t="s">
        <v>284</v>
      </c>
      <c r="B40" s="597"/>
      <c r="C40" s="597"/>
      <c r="D40" s="597"/>
      <c r="E40" s="597"/>
      <c r="F40" s="597"/>
      <c r="G40" s="597"/>
      <c r="H40" s="597"/>
      <c r="I40" s="597"/>
      <c r="J40" s="597"/>
      <c r="K40" s="597"/>
      <c r="L40" s="598"/>
      <c r="M40" s="598">
        <f>SUMIF($Z$36:$Z$38,"landbouw",M36:M38)</f>
        <v>0</v>
      </c>
      <c r="N40" s="598">
        <f>SUMIF($Z$36:$Z$38,"landbouw",N36:N38)</f>
        <v>0</v>
      </c>
      <c r="O40" s="598">
        <f>SUMIF($Z$36:$Z$38,"landbouw",O36:O38)</f>
        <v>0</v>
      </c>
      <c r="P40" s="598">
        <f>SUMIF($Z$36:$Z$38,"landbouw",P36:P38)</f>
        <v>0</v>
      </c>
      <c r="Q40" s="598">
        <f>SUMIF($Z$36:$Z$38,"landbouw",Q36:Q38)</f>
        <v>0</v>
      </c>
      <c r="R40" s="598">
        <f>SUMIF($Z$36:$Z$38,"landbouw",R36:R38)</f>
        <v>0</v>
      </c>
      <c r="S40" s="598">
        <f>SUMIF($Z$36:$Z$38,"landbouw",S36:S38)</f>
        <v>0</v>
      </c>
      <c r="T40" s="598">
        <f>SUMIF($Z$36:$Z$38,"landbouw",T36:T38)</f>
        <v>0</v>
      </c>
      <c r="U40" s="598">
        <f>SUMIF($Z$36:$Z$38,"landbouw",U36:U38)</f>
        <v>0</v>
      </c>
      <c r="V40" s="598">
        <f>SUMIF($Z$36:$Z$38,"landbouw",V36:V38)</f>
        <v>0</v>
      </c>
      <c r="W40" s="598">
        <f>SUMIF($Z$36:$Z$38,"landbouw",W36:W38)</f>
        <v>0</v>
      </c>
      <c r="X40" s="599"/>
      <c r="Y40" s="599"/>
      <c r="Z40" s="600"/>
    </row>
    <row r="41" spans="1:27" s="605" customForma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row>
    <row r="42" spans="1:27" s="605" customFormat="1" ht="15.75" thickBot="1">
      <c r="A42" s="601"/>
      <c r="B42" s="585"/>
      <c r="C42" s="585"/>
      <c r="D42" s="585"/>
      <c r="E42" s="585"/>
      <c r="F42" s="585"/>
      <c r="G42" s="585"/>
      <c r="H42" s="585"/>
      <c r="I42" s="585"/>
      <c r="J42" s="585"/>
      <c r="K42" s="585"/>
      <c r="L42" s="585"/>
      <c r="M42" s="585"/>
      <c r="N42" s="585"/>
      <c r="O42" s="585"/>
      <c r="P42" s="585"/>
      <c r="Q42" s="585"/>
      <c r="R42" s="585"/>
      <c r="S42" s="585"/>
      <c r="T42" s="585"/>
      <c r="U42" s="585"/>
      <c r="V42" s="585"/>
      <c r="W42" s="585"/>
      <c r="X42" s="585"/>
      <c r="Y42" s="585"/>
      <c r="Z42" s="585"/>
      <c r="AA42" s="585"/>
    </row>
    <row r="43" spans="1:27">
      <c r="A43" s="606" t="s">
        <v>277</v>
      </c>
      <c r="B43" s="607"/>
      <c r="C43" s="607"/>
      <c r="D43" s="607"/>
      <c r="E43" s="607"/>
      <c r="F43" s="607"/>
      <c r="G43" s="607"/>
      <c r="H43" s="607"/>
      <c r="I43" s="608"/>
      <c r="J43" s="609"/>
      <c r="K43" s="609"/>
      <c r="L43" s="610"/>
      <c r="M43" s="610"/>
      <c r="N43" s="610"/>
      <c r="O43" s="610"/>
      <c r="P43" s="610"/>
    </row>
    <row r="44" spans="1:27">
      <c r="A44" s="612"/>
      <c r="B44" s="602"/>
      <c r="C44" s="602"/>
      <c r="D44" s="602"/>
      <c r="E44" s="602"/>
      <c r="F44" s="602"/>
      <c r="G44" s="602"/>
      <c r="H44" s="602"/>
      <c r="I44" s="613"/>
      <c r="J44" s="602"/>
      <c r="K44" s="602"/>
      <c r="L44" s="610"/>
      <c r="M44" s="610"/>
      <c r="N44" s="610"/>
      <c r="O44" s="610"/>
      <c r="P44" s="610"/>
    </row>
    <row r="45" spans="1:27">
      <c r="A45" s="614"/>
      <c r="B45" s="615" t="s">
        <v>278</v>
      </c>
      <c r="C45" s="615" t="s">
        <v>279</v>
      </c>
      <c r="D45" s="615"/>
      <c r="E45" s="615"/>
      <c r="F45" s="615"/>
      <c r="G45" s="615"/>
      <c r="H45" s="615"/>
      <c r="I45" s="616"/>
      <c r="J45" s="615"/>
      <c r="K45" s="615"/>
      <c r="L45" s="615"/>
      <c r="M45" s="615"/>
      <c r="N45" s="615"/>
      <c r="O45" s="615"/>
      <c r="P45" s="610"/>
    </row>
    <row r="46" spans="1:27">
      <c r="A46" s="612" t="s">
        <v>275</v>
      </c>
      <c r="B46" s="617">
        <f>IF(ISERROR(O30/(O30+N30)),0,O30/(O30+N30))</f>
        <v>0.58823529411764708</v>
      </c>
      <c r="C46" s="618">
        <f>IF(ISERROR(N30/(O30+N30)),0,N30/(N30+O30))</f>
        <v>0.41176470588235292</v>
      </c>
      <c r="D46" s="585"/>
      <c r="E46" s="585"/>
      <c r="F46" s="585"/>
      <c r="G46" s="585"/>
      <c r="H46" s="585"/>
      <c r="I46" s="619"/>
      <c r="J46" s="585"/>
      <c r="K46" s="585"/>
      <c r="L46" s="620"/>
      <c r="M46" s="620"/>
      <c r="N46" s="620"/>
      <c r="O46" s="620"/>
      <c r="P46" s="610"/>
    </row>
    <row r="47" spans="1:27">
      <c r="A47" s="612"/>
      <c r="B47" s="621"/>
      <c r="C47" s="621"/>
      <c r="D47" s="621"/>
      <c r="E47" s="621"/>
      <c r="F47" s="621"/>
      <c r="G47" s="621"/>
      <c r="H47" s="621"/>
      <c r="I47" s="622"/>
      <c r="J47" s="621"/>
      <c r="K47" s="621"/>
      <c r="L47" s="623"/>
      <c r="M47" s="623"/>
      <c r="N47" s="623"/>
      <c r="O47" s="623"/>
      <c r="P47" s="610"/>
    </row>
    <row r="48" spans="1:27" ht="30">
      <c r="A48" s="624"/>
      <c r="B48" s="625" t="s">
        <v>518</v>
      </c>
      <c r="C48" s="625" t="s">
        <v>102</v>
      </c>
      <c r="D48" s="625" t="s">
        <v>103</v>
      </c>
      <c r="E48" s="625" t="s">
        <v>104</v>
      </c>
      <c r="F48" s="625" t="s">
        <v>105</v>
      </c>
      <c r="G48" s="625" t="s">
        <v>106</v>
      </c>
      <c r="H48" s="625" t="s">
        <v>107</v>
      </c>
      <c r="I48" s="626" t="s">
        <v>108</v>
      </c>
      <c r="J48" s="615"/>
      <c r="K48" s="615"/>
      <c r="L48" s="623"/>
      <c r="M48" s="623"/>
      <c r="N48" s="623"/>
      <c r="O48" s="610"/>
      <c r="P48" s="610"/>
    </row>
    <row r="49" spans="1:16">
      <c r="A49" s="614" t="s">
        <v>280</v>
      </c>
      <c r="B49" s="627">
        <f t="shared" ref="B49:I49" si="2">$C$46*P30</f>
        <v>0</v>
      </c>
      <c r="C49" s="627">
        <f t="shared" si="2"/>
        <v>102.70588235294116</v>
      </c>
      <c r="D49" s="627">
        <f t="shared" si="2"/>
        <v>0</v>
      </c>
      <c r="E49" s="627">
        <f t="shared" si="2"/>
        <v>0</v>
      </c>
      <c r="F49" s="627">
        <f t="shared" si="2"/>
        <v>0</v>
      </c>
      <c r="G49" s="627">
        <f t="shared" si="2"/>
        <v>0</v>
      </c>
      <c r="H49" s="627">
        <f t="shared" si="2"/>
        <v>0</v>
      </c>
      <c r="I49" s="628">
        <f t="shared" si="2"/>
        <v>0</v>
      </c>
      <c r="J49" s="585"/>
      <c r="K49" s="585"/>
      <c r="L49" s="623"/>
      <c r="M49" s="623"/>
      <c r="N49" s="623"/>
      <c r="O49" s="610"/>
      <c r="P49" s="610"/>
    </row>
    <row r="50" spans="1:16" ht="15.75" thickBot="1">
      <c r="A50" s="629" t="s">
        <v>281</v>
      </c>
      <c r="B50" s="630">
        <f t="shared" ref="B50:I50" si="3">$B$46*P30</f>
        <v>0</v>
      </c>
      <c r="C50" s="630">
        <f t="shared" si="3"/>
        <v>146.72268907563023</v>
      </c>
      <c r="D50" s="630">
        <f t="shared" si="3"/>
        <v>0</v>
      </c>
      <c r="E50" s="630">
        <f t="shared" si="3"/>
        <v>0</v>
      </c>
      <c r="F50" s="630">
        <f t="shared" si="3"/>
        <v>0</v>
      </c>
      <c r="G50" s="630">
        <f t="shared" si="3"/>
        <v>0</v>
      </c>
      <c r="H50" s="630">
        <f t="shared" si="3"/>
        <v>0</v>
      </c>
      <c r="I50" s="631">
        <f t="shared" si="3"/>
        <v>0</v>
      </c>
      <c r="J50" s="585"/>
      <c r="K50" s="585"/>
      <c r="L50" s="623"/>
      <c r="M50" s="623"/>
      <c r="N50" s="623"/>
      <c r="O50" s="610"/>
      <c r="P50" s="610"/>
    </row>
    <row r="51" spans="1:16">
      <c r="J51" s="565"/>
      <c r="K51" s="565"/>
      <c r="L51" s="565"/>
      <c r="M51" s="565"/>
      <c r="N51" s="565"/>
    </row>
    <row r="52" spans="1:16">
      <c r="J52" s="565"/>
      <c r="K52" s="565"/>
      <c r="L52" s="565"/>
      <c r="M52" s="565"/>
      <c r="N52"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2021-06-29T14:32:45Z</dcterms:modified>
</cp:coreProperties>
</file>