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B37" i="13"/>
  <c r="D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22" i="59"/>
  <c r="C29" i="20"/>
  <c r="C17" i="19"/>
  <c r="C19" i="19" s="1"/>
  <c r="D39" i="14" s="1"/>
  <c r="C56" i="22"/>
  <c r="C58" i="22" s="1"/>
  <c r="D49" i="14" s="1"/>
  <c r="D52" i="14" s="1"/>
  <c r="C20" i="16"/>
  <c r="C22" i="16" s="1"/>
  <c r="D43" i="14" s="1"/>
  <c r="C10" i="17"/>
  <c r="C12" i="17" s="1"/>
  <c r="D54" i="14" s="1"/>
  <c r="D56" i="14" s="1"/>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<sst xmlns="http://schemas.openxmlformats.org/spreadsheetml/2006/main" count="2475" uniqueCount="897">
  <si>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</si>
  <si>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</si>
  <si>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</si>
  <si>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</si>
  <si>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</si>
  <si>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</si>
  <si>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</si>
  <si>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</si>
  <si>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</si>
  <si>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</si>
  <si>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</si>
  <si>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</si>
  <si>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</si>
  <si>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</si>
  <si>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</si>
  <si>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</si>
  <si>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</si>
  <si>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</si>
  <si>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</si>
  <si>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</si>
  <si>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</si>
  <si>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</si>
  <si>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</si>
  <si>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</si>
  <si>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</si>
  <si>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</si>
  <si>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</si>
  <si>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</si>
  <si>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</si>
  <si>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</si>
  <si>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</si>
  <si>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</si>
  <si>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</si>
  <si>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</si>
  <si>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</si>
  <si>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</si>
  <si>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</si>
  <si>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</si>
  <si>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</si>
  <si>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</si>
  <si>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</si>
  <si>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</si>
  <si>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</si>
  <si>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</si>
  <si>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</si>
  <si>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</si>
  <si>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</si>
  <si>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</si>
  <si>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</si>
  <si>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</si>
  <si>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</si>
  <si>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</si>
  <si>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</si>
  <si>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</si>
  <si>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</si>
  <si>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</si>
  <si>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</si>
  <si>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</si>
  <si>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</si>
  <si>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</si>
  <si>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</si>
  <si>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</si>
  <si>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</si>
  <si>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</si>
  <si>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</si>
  <si>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</si>
  <si>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</si>
  <si>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</si>
  <si>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</si>
  <si>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</si>
  <si>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</si>
  <si>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</si>
  <si>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</si>
  <si>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</si>
  <si>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</si>
  <si>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</si>
  <si>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</si>
  <si>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</si>
  <si>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</si>
  <si>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</si>
  <si>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</si>
  <si>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</si>
  <si>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</si>
  <si>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</si>
  <si>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</si>
  <si>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</si>
  <si>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</si>
  <si>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</si>
  <si>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</si>
  <si>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</si>
  <si>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</si>
  <si>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</si>
  <si>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</si>
  <si>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</si>
  <si>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</si>
  <si>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</si>
  <si>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</si>
  <si>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</si>
  <si>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</si>
  <si>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</si>
  <si>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</si>
  <si>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</si>
  <si>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</si>
  <si>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</si>
  <si>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</si>
  <si>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</si>
  <si>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</si>
  <si>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</si>
  <si>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</si>
  <si>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</si>
  <si>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</si>
  <si>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</si>
  <si>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</si>
  <si>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</si>
  <si>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</si>
  <si>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</si>
  <si>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</si>
  <si>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</si>
  <si>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</si>
  <si>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</si>
  <si>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</si>
  <si>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</si>
  <si>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</si>
  <si>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</si>
  <si>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</si>
  <si>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</si>
  <si>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</si>
  <si>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</si>
  <si>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</si>
  <si>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</si>
  <si>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</si>
  <si>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</si>
  <si>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</si>
  <si>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</si>
  <si>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</si>
  <si>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</si>
  <si>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</si>
  <si>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</si>
  <si>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</si>
  <si>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</si>
  <si>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</si>
  <si>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</si>
  <si>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</si>
  <si>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</si>
  <si>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</si>
  <si>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</si>
  <si>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</si>
  <si>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</si>
  <si>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</si>
  <si>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</si>
  <si>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</si>
  <si>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</si>
  <si>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</si>
  <si>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</si>
  <si>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</si>
  <si>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</si>
  <si>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</si>
  <si>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</si>
  <si>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</si>
  <si>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</si>
  <si>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</si>
  <si>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</si>
  <si>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</si>
  <si>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</si>
  <si>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</si>
  <si>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</si>
  <si>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</si>
  <si>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</si>
  <si>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</si>
  <si>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</si>
  <si>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</si>
  <si>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</si>
  <si>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</si>
  <si>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</si>
  <si>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</si>
  <si>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</si>
  <si>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</si>
  <si>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</si>
  <si>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</si>
  <si>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</si>
  <si>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</si>
  <si>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</si>
  <si>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</si>
  <si>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</si>
  <si>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</si>
  <si>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</si>
  <si>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</si>
  <si>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</si>
  <si>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</si>
  <si>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</si>
  <si>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</si>
  <si>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</si>
  <si>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</si>
  <si>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</si>
  <si>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</si>
  <si>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</si>
  <si>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</si>
  <si>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</si>
  <si>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</si>
  <si>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</si>
  <si>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</si>
  <si>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</si>
  <si>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</si>
  <si>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</si>
  <si>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</si>
  <si>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</si>
  <si>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</si>
  <si>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</si>
  <si>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</si>
  <si>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</si>
  <si>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</si>
  <si>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</si>
  <si>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</si>
  <si>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</si>
  <si>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</si>
  <si>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</si>
  <si>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</si>
  <si>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</si>
  <si>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</si>
  <si>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</si>
  <si>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</si>
  <si>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</si>
  <si>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</si>
  <si>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</si>
  <si>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</si>
  <si>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</si>
  <si>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</si>
  <si>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</si>
  <si>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</si>
  <si>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</si>
  <si>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</si>
  <si>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</si>
  <si>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</si>
  <si>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</si>
  <si>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</si>
  <si>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</si>
  <si>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</si>
  <si>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</si>
  <si>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</si>
  <si>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</si>
  <si>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</si>
  <si>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</si>
  <si>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</si>
  <si>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</si>
  <si>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</si>
  <si>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</si>
  <si>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</si>
  <si>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</si>
  <si>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</si>
  <si>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</si>
  <si>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</si>
  <si>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</si>
  <si>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</si>
  <si>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</si>
  <si>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</si>
  <si>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</si>
  <si>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</si>
  <si>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</si>
  <si>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</si>
  <si>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</si>
  <si>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</si>
  <si>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</si>
  <si>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</si>
  <si>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</si>
  <si>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</si>
  <si>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</si>
  <si>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</si>
  <si>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</si>
  <si>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</si>
  <si>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</si>
  <si>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</si>
  <si>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</si>
  <si>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</si>
  <si>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</si>
  <si>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</si>
  <si>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</si>
  <si>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</si>
  <si>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</si>
  <si>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</si>
  <si>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</si>
  <si>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</si>
  <si>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</si>
  <si>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</si>
  <si>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</si>
  <si>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</si>
  <si>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</si>
  <si>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</si>
  <si>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</si>
  <si>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</si>
  <si>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</si>
  <si>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</si>
  <si>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</si>
  <si>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</si>
  <si>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</si>
  <si>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</si>
  <si>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</si>
  <si>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</si>
  <si>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</si>
  <si>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</si>
  <si>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</si>
  <si>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</si>
  <si>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</si>
  <si>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</si>
  <si>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</si>
  <si>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</si>
  <si>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</si>
  <si>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</si>
  <si>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</si>
  <si>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</si>
  <si>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</si>
  <si>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</si>
  <si>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</si>
  <si>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</si>
  <si>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</si>
  <si>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</si>
  <si>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</si>
  <si>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</si>
  <si>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</si>
  <si>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</si>
  <si>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</si>
  <si>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</si>
  <si>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</si>
  <si>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</si>
  <si>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</si>
  <si>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</si>
  <si>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</si>
  <si>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</si>
  <si>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</si>
  <si>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</si>
  <si>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</si>
  <si>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</si>
  <si>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</si>
  <si>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</si>
  <si>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</si>
  <si>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</si>
  <si>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</si>
  <si>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</si>
  <si>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</si>
  <si>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</si>
  <si>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</si>
  <si>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</si>
  <si>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</si>
  <si>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</si>
  <si>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</si>
  <si>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</si>
  <si>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</si>
  <si>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</si>
  <si>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</si>
  <si>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</si>
  <si>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</si>
  <si>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</si>
  <si>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</si>
  <si>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</si>
  <si>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</si>
  <si>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</si>
  <si>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</si>
  <si>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</si>
  <si>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</si>
  <si>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</si>
  <si>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</si>
  <si>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</si>
  <si>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</si>
  <si>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</si>
  <si>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</si>
  <si>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</si>
  <si>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</si>
  <si>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</si>
  <si>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</si>
  <si>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</si>
  <si>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</si>
  <si>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</si>
  <si>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</si>
  <si>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</si>
  <si>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</si>
  <si>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</si>
  <si>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</si>
  <si>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</si>
  <si>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</si>
  <si>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</si>
  <si>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</si>
  <si>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</si>
  <si>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</si>
  <si>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</si>
  <si>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</si>
  <si>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</si>
  <si>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</si>
  <si>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</si>
  <si>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</si>
  <si>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</si>
  <si>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</si>
  <si>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</si>
  <si>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</si>
  <si>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</si>
  <si>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</si>
  <si>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</si>
  <si>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</si>
  <si>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</si>
  <si>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</si>
  <si>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</si>
  <si>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</si>
  <si>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</si>
  <si>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</si>
  <si>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</si>
  <si>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</si>
  <si>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</si>
  <si>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</si>
  <si>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</si>
  <si>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</si>
  <si>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</si>
  <si>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</si>
  <si>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</si>
  <si>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</si>
  <si>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</si>
  <si>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</si>
  <si>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</si>
  <si>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</si>
  <si>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</si>
  <si>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</si>
  <si>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</si>
  <si>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</si>
  <si>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</si>
  <si>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</si>
  <si>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</si>
  <si>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</si>
  <si>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</si>
  <si>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</si>
  <si>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</si>
  <si>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</si>
  <si>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</si>
  <si>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</si>
  <si>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</si>
  <si>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</si>
  <si>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</si>
  <si>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</si>
  <si>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</si>
  <si>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</si>
  <si>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</si>
  <si>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</si>
  <si>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</si>
  <si>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</si>
  <si>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</si>
  <si>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</si>
  <si>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</si>
  <si>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</si>
  <si>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</si>
  <si>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</si>
  <si>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</si>
  <si>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</si>
  <si>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</si>
  <si>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</si>
  <si>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</si>
  <si>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</si>
  <si>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</si>
  <si>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</si>
  <si>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</si>
  <si>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</si>
  <si>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</si>
  <si>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</si>
  <si>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</si>
  <si>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</si>
  <si>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</si>
  <si>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</si>
  <si>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</si>
  <si>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</si>
  <si>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</si>
  <si>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</si>
  <si>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</si>
  <si>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</si>
  <si>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</si>
  <si>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</si>
  <si>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</si>
  <si>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</si>
  <si>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</si>
  <si>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</si>
  <si>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</si>
  <si>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</si>
  <si>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</si>
  <si>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</si>
  <si>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</si>
  <si>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</si>
  <si>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</si>
  <si>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</si>
  <si>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</si>
  <si>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</si>
  <si>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</si>
  <si>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</si>
  <si>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</si>
  <si>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</si>
  <si>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</si>
  <si>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</si>
  <si>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</si>
  <si>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</si>
  <si>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</si>
  <si>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</si>
  <si>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</si>
  <si>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</si>
  <si>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</si>
  <si>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</si>
  <si>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</si>
  <si>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</si>
  <si>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</si>
  <si>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</si>
  <si>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</si>
  <si>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</si>
  <si>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</si>
  <si>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</si>
  <si>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</si>
  <si>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</si>
  <si>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</si>
  <si>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</si>
  <si>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</si>
  <si>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</si>
  <si>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</si>
  <si>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</si>
  <si>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</si>
  <si>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</si>
  <si>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</si>
  <si>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</si>
  <si>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</si>
  <si>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</si>
  <si>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</si>
  <si>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</si>
  <si>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</si>
  <si>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</si>
  <si>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</si>
  <si>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</si>
  <si>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</si>
  <si>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</si>
  <si>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</si>
  <si>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</si>
  <si>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</si>
  <si>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</si>
  <si>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</si>
  <si>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</si>
  <si>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</si>
  <si>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</si>
  <si>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</si>
  <si>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</si>
  <si>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</si>
  <si>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</si>
  <si>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</si>
  <si>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</si>
  <si>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</si>
  <si>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</si>
  <si>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</si>
  <si>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</si>
  <si>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</si>
  <si>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</si>
  <si>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</si>
  <si>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</si>
  <si>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</si>
  <si>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</si>
  <si>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</si>
  <si>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</si>
  <si>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</si>
  <si>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</si>
  <si>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</si>
  <si>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</si>
  <si>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</si>
  <si>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</si>
  <si>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</si>
  <si>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</si>
  <si>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</si>
  <si>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</si>
  <si>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</si>
  <si>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</si>
  <si>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</si>
  <si>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</si>
  <si>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</si>
  <si>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</si>
  <si>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</si>
  <si>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</si>
  <si>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</si>
  <si>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</si>
  <si>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</si>
  <si>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</si>
  <si>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</si>
  <si>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</si>
  <si>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</si>
  <si>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</si>
  <si>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</si>
  <si>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</si>
  <si>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</si>
  <si>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</si>
  <si>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</si>
  <si>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</si>
  <si>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</si>
  <si>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</si>
  <si>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</si>
  <si>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</si>
  <si>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</si>
  <si>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</si>
  <si>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</si>
  <si>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</si>
  <si>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</si>
  <si>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</si>
  <si>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</si>
  <si>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</si>
  <si>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</si>
  <si>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</si>
  <si>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</si>
  <si>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</si>
  <si>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</si>
  <si>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</si>
  <si>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</si>
  <si>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</si>
  <si>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</si>
  <si>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</si>
  <si>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</si>
  <si>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</si>
  <si>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</si>
  <si>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</si>
  <si>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</si>
  <si>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</si>
  <si>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</si>
  <si>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</si>
  <si>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</si>
  <si>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</si>
  <si>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</si>
  <si>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</si>
  <si>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</si>
  <si>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</si>
  <si>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</si>
  <si>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</si>
  <si>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</si>
  <si>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</si>
  <si>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</si>
  <si>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</si>
  <si>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</si>
  <si>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</si>
  <si>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</si>
  <si>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</si>
  <si>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</si>
  <si>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</si>
  <si>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</si>
  <si>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</si>
  <si>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</si>
  <si>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</si>
  <si>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</si>
  <si>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</si>
  <si>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</si>
  <si>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</si>
  <si>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</si>
  <si>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</si>
  <si>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</si>
  <si>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</si>
  <si>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</si>
  <si>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</si>
  <si>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</si>
  <si>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</si>
  <si>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</si>
  <si>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</si>
  <si>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</si>
  <si>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</si>
  <si>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</si>
  <si>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</si>
  <si>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</si>
  <si>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</si>
  <si>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</si>
  <si>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</si>
  <si>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</si>
  <si>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</si>
  <si>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</si>
  <si>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</si>
  <si>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</si>
  <si>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</si>
  <si>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</si>
  <si>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</si>
  <si>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</si>
  <si>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</si>
  <si>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</si>
  <si>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</si>
  <si>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</si>
  <si>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</si>
  <si>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</si>
  <si>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</si>
  <si>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</si>
  <si>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</si>
  <si>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</si>
  <si>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</si>
  <si>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</si>
  <si>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</si>
  <si>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</si>
  <si>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</si>
  <si>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</si>
  <si>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</si>
  <si>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</si>
  <si>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</si>
  <si>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</si>
  <si>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</si>
  <si>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</si>
  <si>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</si>
  <si>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</si>
  <si>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</si>
  <si>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</si>
  <si>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</si>
  <si>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</si>
  <si>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</si>
  <si>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</si>
  <si>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</si>
  <si>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</si>
  <si>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</si>
  <si>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</si>
  <si>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</si>
  <si>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</si>
  <si>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</si>
  <si>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</si>
  <si>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</si>
  <si>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</si>
  <si>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</si>
  <si>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</si>
  <si>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</si>
  <si>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</si>
  <si>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</si>
  <si>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</si>
  <si>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</si>
  <si>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</si>
  <si>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</si>
  <si>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</si>
  <si>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</si>
  <si>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</si>
  <si>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</si>
  <si>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</si>
  <si>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</si>
  <si>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</si>
  <si>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</si>
  <si>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</si>
  <si>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</si>
  <si>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</si>
  <si>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</si>
  <si>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</si>
  <si>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</si>
  <si>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</si>
  <si>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</si>
  <si>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</si>
  <si>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</si>
  <si>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</si>
  <si>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</si>
  <si>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</si>
  <si>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</si>
  <si>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</si>
  <si>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</si>
  <si>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</si>
  <si>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</si>
  <si>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</si>
  <si>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</si>
  <si>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</si>
  <si>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</si>
  <si>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</si>
  <si>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</si>
  <si>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</si>
  <si>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</si>
  <si>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</si>
  <si>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</si>
  <si>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</si>
  <si>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</si>
  <si>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</si>
  <si>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</si>
  <si>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</si>
  <si>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</si>
  <si>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</si>
  <si>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</si>
  <si>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</si>
  <si>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</si>
  <si>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</si>
  <si>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</si>
  <si>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</si>
  <si>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</si>
  <si>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</si>
  <si>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</si>
  <si>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</si>
  <si>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</si>
  <si>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</si>
  <si>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</si>
  <si>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</si>
  <si>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</si>
  <si>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</si>
  <si>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</si>
  <si>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</si>
  <si>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</si>
  <si>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</si>
  <si>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</si>
  <si>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</si>
  <si>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</si>
  <si>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</si>
  <si>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</si>
  <si>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</si>
  <si>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</si>
  <si>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</si>
  <si>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</si>
  <si>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</si>
  <si>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</si>
  <si>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</si>
  <si>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</si>
  <si>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</si>
  <si>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</si>
  <si>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</si>
  <si>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</si>
  <si>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</si>
  <si>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</si>
  <si>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</si>
  <si>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</si>
  <si>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</si>
  <si>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</si>
  <si>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</si>
  <si>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</si>
  <si>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</si>
  <si>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</si>
  <si>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</si>
  <si>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</si>
  <si>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</si>
  <si>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</si>
  <si>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</si>
  <si>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</si>
  <si>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</si>
  <si>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</si>
  <si>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</si>
  <si>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</si>
  <si>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</si>
  <si>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</si>
  <si>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</si>
  <si>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</si>
  <si>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</si>
  <si>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</si>
  <si>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</si>
  <si>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</si>
  <si>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</si>
  <si>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</si>
  <si>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</si>
  <si>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</si>
  <si>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</si>
  <si>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</si>
  <si>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</si>
  <si>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</si>
  <si>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</si>
  <si>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</si>
  <si>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</si>
  <si>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</si>
  <si>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</si>
  <si>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</si>
  <si>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</si>
  <si>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</si>
  <si>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</si>
  <si>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</si>
  <si>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</si>
  <si>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</si>
  <si>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</si>
  <si>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</si>
  <si>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</si>
  <si>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</si>
  <si>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</si>
  <si>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</si>
  <si>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</si>
  <si>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</si>
  <si>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</si>
  <si>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</si>
  <si>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</si>
  <si>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</si>
  <si>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</si>
  <si>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</si>
  <si>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</si>
  <si>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</si>
  <si>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</si>
  <si>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</si>
  <si>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</si>
  <si>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</si>
  <si>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</si>
  <si>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</si>
  <si>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</si>
  <si>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</si>
  <si>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</si>
  <si>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</si>
  <si>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</si>
  <si>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</si>
  <si>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</si>
  <si>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</si>
  <si>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</si>
  <si>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</si>
  <si>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</si>
  <si>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37011</t>
  </si>
  <si>
    <t>PITTEM</t>
  </si>
  <si>
    <t>referentietaak LNE (2017); Jaarverslag De Lijn</t>
  </si>
  <si>
    <t>waterkracht</t>
  </si>
  <si>
    <t>Green Power Pittem nv</t>
  </si>
  <si>
    <t>Koolkenstraat 9 , 8740 Pittem</t>
  </si>
  <si>
    <t>WKK-0236 Green Power Pittem</t>
  </si>
  <si>
    <t>interne verbrandingsmotor</t>
  </si>
  <si>
    <t>WKK interne verbrandinsgmotor (gas)</t>
  </si>
  <si>
    <t>Vijfstraat 8 , 8740 Pittem</t>
  </si>
  <si>
    <t>GASELWEST</t>
  </si>
  <si>
    <t>Ampower bvba</t>
  </si>
  <si>
    <t>Brugsesteenweg 176 , 8740 Pittem</t>
  </si>
  <si>
    <t>WKK-0411 Ampower</t>
  </si>
  <si>
    <t>Brugsesteenweg 166 , 8740 Pittem</t>
  </si>
  <si>
    <t>Handelskwekerij Vantyghem bvba</t>
  </si>
  <si>
    <t>Kasteeldreef 16 , 8740 Pittem</t>
  </si>
  <si>
    <t>WKK-0321 Handelskwekerij Vantyghem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</si>
</sst>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55248.500227069322</c:v>
                </c:pt>
                <c:pt idx="1">
                  <c:v>28117.466730500437</c:v>
                </c:pt>
                <c:pt idx="2">
                  <c:v>567.74099999999999</c:v>
                </c:pt>
                <c:pt idx="3">
                  <c:v>113648.02755172414</c:v>
                </c:pt>
                <c:pt idx="4">
                  <c:v>11010.483656195316</c:v>
                </c:pt>
                <c:pt idx="5">
                  <c:v>56034.127530802893</c:v>
                </c:pt>
                <c:pt idx="6">
                  <c:v>606.26414797958739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55248.500227069322</c:v>
                </c:pt>
                <c:pt idx="1">
                  <c:v>28117.466730500437</c:v>
                </c:pt>
                <c:pt idx="2">
                  <c:v>567.74099999999999</c:v>
                </c:pt>
                <c:pt idx="3">
                  <c:v>113648.02755172414</c:v>
                </c:pt>
                <c:pt idx="4">
                  <c:v>11010.483656195316</c:v>
                </c:pt>
                <c:pt idx="5">
                  <c:v>56034.127530802893</c:v>
                </c:pt>
                <c:pt idx="6">
                  <c:v>606.26414797958739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8902.2419180634224</c:v>
                </c:pt>
                <c:pt idx="1">
                  <c:v>3102.6697953056637</c:v>
                </c:pt>
                <c:pt idx="2">
                  <c:v>0.75831297708422873</c:v>
                </c:pt>
                <c:pt idx="3">
                  <c:v>9249.3459415857906</c:v>
                </c:pt>
                <c:pt idx="4">
                  <c:v>886.2568228436063</c:v>
                </c:pt>
                <c:pt idx="5">
                  <c:v>13935.014830435561</c:v>
                </c:pt>
                <c:pt idx="6">
                  <c:v>151.40250766147815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8902.2419180634224</c:v>
                </c:pt>
                <c:pt idx="1">
                  <c:v>3102.6697953056637</c:v>
                </c:pt>
                <c:pt idx="2">
                  <c:v>0.75831297708422873</c:v>
                </c:pt>
                <c:pt idx="3">
                  <c:v>9249.3459415857906</c:v>
                </c:pt>
                <c:pt idx="4">
                  <c:v>886.2568228436063</c:v>
                </c:pt>
                <c:pt idx="5">
                  <c:v>13935.014830435561</c:v>
                </c:pt>
                <c:pt idx="6">
                  <c:v>151.40250766147815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37011</v>
      </c>
      <c r="B6" s="386"/>
      <c r="C6" s="387"/>
    </row>
    <row r="7" spans="1:7" s="384" customFormat="1" ht="15.75" customHeight="1">
      <c r="A7" s="388" t="str">
        <f>txtMunicipality</f>
        <v>PITTEM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13371.539305388729</v>
      </c>
      <c r="D10" s="682">
        <f ca="1">tertiair!C16</f>
        <v>0</v>
      </c>
      <c r="E10" s="682">
        <f ca="1">tertiair!D16</f>
        <v>12541.654894742929</v>
      </c>
      <c r="F10" s="682">
        <f>tertiair!E16</f>
        <v>45.08498865809937</v>
      </c>
      <c r="G10" s="682">
        <f ca="1">tertiair!F16</f>
        <v>2029.6401941723786</v>
      </c>
      <c r="H10" s="682">
        <f>tertiair!G16</f>
        <v>0</v>
      </c>
      <c r="I10" s="682">
        <f>tertiair!H16</f>
        <v>0</v>
      </c>
      <c r="J10" s="682">
        <f>tertiair!I16</f>
        <v>0</v>
      </c>
      <c r="K10" s="682">
        <f>tertiair!J16</f>
        <v>1.6017231940317088E-2</v>
      </c>
      <c r="L10" s="682">
        <f>tertiair!K16</f>
        <v>0</v>
      </c>
      <c r="M10" s="682">
        <f ca="1">tertiair!L16</f>
        <v>0</v>
      </c>
      <c r="N10" s="682">
        <f>tertiair!M16</f>
        <v>0</v>
      </c>
      <c r="O10" s="682">
        <f ca="1">tertiair!N16</f>
        <v>592.19405369337221</v>
      </c>
      <c r="P10" s="682">
        <f>tertiair!O16</f>
        <v>0</v>
      </c>
      <c r="Q10" s="683">
        <f>tertiair!P16</f>
        <v>105.07827661299004</v>
      </c>
      <c r="R10" s="685">
        <f ca="1">SUM(C10:Q10)</f>
        <v>28685.207730500435</v>
      </c>
      <c r="S10" s="67"/>
    </row>
    <row r="11" spans="1:19" s="445" customFormat="1">
      <c r="A11" s="803" t="s">
        <v>220</v>
      </c>
      <c r="B11" s="808"/>
      <c r="C11" s="682">
        <f>huishoudens!B8</f>
        <v>12108.619287619798</v>
      </c>
      <c r="D11" s="682">
        <f>huishoudens!C8</f>
        <v>0</v>
      </c>
      <c r="E11" s="682">
        <f>huishoudens!D8</f>
        <v>21495.17948350402</v>
      </c>
      <c r="F11" s="682">
        <f>huishoudens!E8</f>
        <v>717.65047632047742</v>
      </c>
      <c r="G11" s="682">
        <f>huishoudens!F8</f>
        <v>16300.627235680378</v>
      </c>
      <c r="H11" s="682">
        <f>huishoudens!G8</f>
        <v>0</v>
      </c>
      <c r="I11" s="682">
        <f>huishoudens!H8</f>
        <v>0</v>
      </c>
      <c r="J11" s="682">
        <f>huishoudens!I8</f>
        <v>0</v>
      </c>
      <c r="K11" s="682">
        <f>huishoudens!J8</f>
        <v>81.549287828529941</v>
      </c>
      <c r="L11" s="682">
        <f>huishoudens!K8</f>
        <v>0</v>
      </c>
      <c r="M11" s="682">
        <f>huishoudens!L8</f>
        <v>0</v>
      </c>
      <c r="N11" s="682">
        <f>huishoudens!M8</f>
        <v>0</v>
      </c>
      <c r="O11" s="682">
        <f>huishoudens!N8</f>
        <v>3800.2239937735676</v>
      </c>
      <c r="P11" s="682">
        <f>huishoudens!O8</f>
        <v>154.7487411121885</v>
      </c>
      <c r="Q11" s="683">
        <f>huishoudens!P8</f>
        <v>589.90172123036132</v>
      </c>
      <c r="R11" s="685">
        <f>SUM(C11:Q11)</f>
        <v>55248.500227069322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6788.5294846129773</v>
      </c>
      <c r="D13" s="682">
        <f>industrie!C18</f>
        <v>0</v>
      </c>
      <c r="E13" s="682">
        <f>industrie!D18</f>
        <v>2724.2671981870885</v>
      </c>
      <c r="F13" s="682">
        <f>industrie!E18</f>
        <v>23.495631188779061</v>
      </c>
      <c r="G13" s="682">
        <f>industrie!F18</f>
        <v>1201.2301346594811</v>
      </c>
      <c r="H13" s="682">
        <f>industrie!G18</f>
        <v>0</v>
      </c>
      <c r="I13" s="682">
        <f>industrie!H18</f>
        <v>0</v>
      </c>
      <c r="J13" s="682">
        <f>industrie!I18</f>
        <v>0</v>
      </c>
      <c r="K13" s="682">
        <f>industrie!J18</f>
        <v>2.3324267266488778</v>
      </c>
      <c r="L13" s="682">
        <f>industrie!K18</f>
        <v>0</v>
      </c>
      <c r="M13" s="682">
        <f>industrie!L18</f>
        <v>0</v>
      </c>
      <c r="N13" s="682">
        <f>industrie!M18</f>
        <v>0</v>
      </c>
      <c r="O13" s="682">
        <f>industrie!N18</f>
        <v>270.6287808203391</v>
      </c>
      <c r="P13" s="682">
        <f>industrie!O18</f>
        <v>0</v>
      </c>
      <c r="Q13" s="683">
        <f>industrie!P18</f>
        <v>0</v>
      </c>
      <c r="R13" s="685">
        <f>SUM(C13:Q13)</f>
        <v>11010.483656195316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32268.688077621504</v>
      </c>
      <c r="D16" s="718">
        <f t="shared" ref="D16:R16" ca="1" si="0">SUM(D9:D15)</f>
        <v>0</v>
      </c>
      <c r="E16" s="718">
        <f t="shared" ca="1" si="0"/>
        <v>36761.101576434034</v>
      </c>
      <c r="F16" s="718">
        <f t="shared" si="0"/>
        <v>786.23109616735587</v>
      </c>
      <c r="G16" s="718">
        <f t="shared" ca="1" si="0"/>
        <v>19531.497564512236</v>
      </c>
      <c r="H16" s="718">
        <f t="shared" si="0"/>
        <v>0</v>
      </c>
      <c r="I16" s="718">
        <f t="shared" si="0"/>
        <v>0</v>
      </c>
      <c r="J16" s="718">
        <f t="shared" si="0"/>
        <v>0</v>
      </c>
      <c r="K16" s="718">
        <f t="shared" si="0"/>
        <v>83.897731787119127</v>
      </c>
      <c r="L16" s="718">
        <f t="shared" si="0"/>
        <v>0</v>
      </c>
      <c r="M16" s="718">
        <f t="shared" ca="1" si="0"/>
        <v>0</v>
      </c>
      <c r="N16" s="718">
        <f t="shared" si="0"/>
        <v>0</v>
      </c>
      <c r="O16" s="718">
        <f t="shared" ca="1" si="0"/>
        <v>4663.0468282872789</v>
      </c>
      <c r="P16" s="718">
        <f t="shared" si="0"/>
        <v>154.7487411121885</v>
      </c>
      <c r="Q16" s="718">
        <f t="shared" si="0"/>
        <v>694.97999784335138</v>
      </c>
      <c r="R16" s="718">
        <f t="shared" ca="1" si="0"/>
        <v>94944.19161376507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7.9437541688266791</v>
      </c>
      <c r="D19" s="682">
        <f>transport!C54</f>
        <v>0</v>
      </c>
      <c r="E19" s="682">
        <f>transport!D54</f>
        <v>0</v>
      </c>
      <c r="F19" s="682">
        <f>transport!E54</f>
        <v>0</v>
      </c>
      <c r="G19" s="682">
        <f>transport!F54</f>
        <v>0</v>
      </c>
      <c r="H19" s="682">
        <f>transport!G54</f>
        <v>567.01085187399053</v>
      </c>
      <c r="I19" s="682">
        <f>transport!H54</f>
        <v>0</v>
      </c>
      <c r="J19" s="682">
        <f>transport!I54</f>
        <v>0</v>
      </c>
      <c r="K19" s="682">
        <f>transport!J54</f>
        <v>0</v>
      </c>
      <c r="L19" s="682">
        <f>transport!K54</f>
        <v>0</v>
      </c>
      <c r="M19" s="682">
        <f>transport!L54</f>
        <v>0</v>
      </c>
      <c r="N19" s="682">
        <f>transport!M54</f>
        <v>31.309541936770195</v>
      </c>
      <c r="O19" s="682">
        <f>transport!N54</f>
        <v>0</v>
      </c>
      <c r="P19" s="682">
        <f>transport!O54</f>
        <v>0</v>
      </c>
      <c r="Q19" s="683">
        <f>transport!P54</f>
        <v>0</v>
      </c>
      <c r="R19" s="685">
        <f>SUM(C19:Q19)</f>
        <v>606.26414797958739</v>
      </c>
      <c r="S19" s="67"/>
    </row>
    <row r="20" spans="1:19" s="445" customFormat="1">
      <c r="A20" s="803" t="s">
        <v>302</v>
      </c>
      <c r="B20" s="808"/>
      <c r="C20" s="682">
        <f>transport!B14</f>
        <v>83.329135642771448</v>
      </c>
      <c r="D20" s="682">
        <f>transport!C14</f>
        <v>0</v>
      </c>
      <c r="E20" s="682">
        <f>transport!D14</f>
        <v>152.60246029957585</v>
      </c>
      <c r="F20" s="682">
        <f>transport!E14</f>
        <v>83.950266162470371</v>
      </c>
      <c r="G20" s="682">
        <f>transport!F14</f>
        <v>0</v>
      </c>
      <c r="H20" s="682">
        <f>transport!G14</f>
        <v>43359.82775547311</v>
      </c>
      <c r="I20" s="682">
        <f>transport!H14</f>
        <v>9268.8639049782796</v>
      </c>
      <c r="J20" s="682">
        <f>transport!I14</f>
        <v>0</v>
      </c>
      <c r="K20" s="682">
        <f>transport!J14</f>
        <v>0</v>
      </c>
      <c r="L20" s="682">
        <f>transport!K14</f>
        <v>0</v>
      </c>
      <c r="M20" s="682">
        <f>transport!L14</f>
        <v>0</v>
      </c>
      <c r="N20" s="682">
        <f>transport!M14</f>
        <v>3085.5540082466823</v>
      </c>
      <c r="O20" s="682">
        <f>transport!N14</f>
        <v>0</v>
      </c>
      <c r="P20" s="682">
        <f>transport!O14</f>
        <v>0</v>
      </c>
      <c r="Q20" s="683">
        <f>transport!P14</f>
        <v>0</v>
      </c>
      <c r="R20" s="685">
        <f>SUM(C20:Q20)</f>
        <v>56034.127530802893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91.272889811598134</v>
      </c>
      <c r="D22" s="806">
        <f t="shared" ref="D22:R22" si="1">SUM(D18:D21)</f>
        <v>0</v>
      </c>
      <c r="E22" s="806">
        <f t="shared" si="1"/>
        <v>152.60246029957585</v>
      </c>
      <c r="F22" s="806">
        <f t="shared" si="1"/>
        <v>83.950266162470371</v>
      </c>
      <c r="G22" s="806">
        <f t="shared" si="1"/>
        <v>0</v>
      </c>
      <c r="H22" s="806">
        <f t="shared" si="1"/>
        <v>43926.838607347097</v>
      </c>
      <c r="I22" s="806">
        <f t="shared" si="1"/>
        <v>9268.8639049782796</v>
      </c>
      <c r="J22" s="806">
        <f t="shared" si="1"/>
        <v>0</v>
      </c>
      <c r="K22" s="806">
        <f t="shared" si="1"/>
        <v>0</v>
      </c>
      <c r="L22" s="806">
        <f t="shared" si="1"/>
        <v>0</v>
      </c>
      <c r="M22" s="806">
        <f t="shared" si="1"/>
        <v>0</v>
      </c>
      <c r="N22" s="806">
        <f t="shared" si="1"/>
        <v>3116.8635501834524</v>
      </c>
      <c r="O22" s="806">
        <f t="shared" si="1"/>
        <v>0</v>
      </c>
      <c r="P22" s="806">
        <f t="shared" si="1"/>
        <v>0</v>
      </c>
      <c r="Q22" s="806">
        <f t="shared" si="1"/>
        <v>0</v>
      </c>
      <c r="R22" s="806">
        <f t="shared" si="1"/>
        <v>56640.391678782478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8667.6875270520504</v>
      </c>
      <c r="D24" s="682">
        <f>+landbouw!C8</f>
        <v>70579.28571428571</v>
      </c>
      <c r="E24" s="682">
        <f>+landbouw!D8</f>
        <v>3681.1712984611659</v>
      </c>
      <c r="F24" s="682">
        <f>+landbouw!E8</f>
        <v>323.24458044862172</v>
      </c>
      <c r="G24" s="682">
        <f>+landbouw!F8</f>
        <v>28121.32766405704</v>
      </c>
      <c r="H24" s="682">
        <f>+landbouw!G8</f>
        <v>0</v>
      </c>
      <c r="I24" s="682">
        <f>+landbouw!H8</f>
        <v>0</v>
      </c>
      <c r="J24" s="682">
        <f>+landbouw!I8</f>
        <v>0</v>
      </c>
      <c r="K24" s="682">
        <f>+landbouw!J8</f>
        <v>2275.3107674195471</v>
      </c>
      <c r="L24" s="682">
        <f>+landbouw!K8</f>
        <v>0</v>
      </c>
      <c r="M24" s="682">
        <f>+landbouw!L8</f>
        <v>0</v>
      </c>
      <c r="N24" s="682">
        <f>+landbouw!M8</f>
        <v>0</v>
      </c>
      <c r="O24" s="682">
        <f>+landbouw!N8</f>
        <v>0</v>
      </c>
      <c r="P24" s="682">
        <f>+landbouw!O8</f>
        <v>0</v>
      </c>
      <c r="Q24" s="683">
        <f>+landbouw!P8</f>
        <v>0</v>
      </c>
      <c r="R24" s="685">
        <f>SUM(C24:Q24)</f>
        <v>113648.02755172414</v>
      </c>
      <c r="S24" s="67"/>
    </row>
    <row r="25" spans="1:19" s="445" customFormat="1" ht="15" thickBot="1">
      <c r="A25" s="825" t="s">
        <v>703</v>
      </c>
      <c r="B25" s="938"/>
      <c r="C25" s="939">
        <f>IF(Onbekend_ele_kWh="---",0,Onbekend_ele_kWh)/1000+IF(REST_rest_ele_kWh="---",0,REST_rest_ele_kWh)/1000</f>
        <v>620.89088267424506</v>
      </c>
      <c r="D25" s="939"/>
      <c r="E25" s="939">
        <f>IF(onbekend_gas_kWh="---",0,onbekend_gas_kWh)/1000+IF(REST_rest_gas_kWh="---",0,REST_rest_gas_kWh)/1000</f>
        <v>572.12550913431596</v>
      </c>
      <c r="F25" s="939"/>
      <c r="G25" s="939"/>
      <c r="H25" s="939"/>
      <c r="I25" s="939"/>
      <c r="J25" s="939"/>
      <c r="K25" s="939"/>
      <c r="L25" s="939"/>
      <c r="M25" s="939"/>
      <c r="N25" s="939"/>
      <c r="O25" s="939"/>
      <c r="P25" s="939"/>
      <c r="Q25" s="940"/>
      <c r="R25" s="685">
        <f>SUM(C25:Q25)</f>
        <v>1193.0163918085609</v>
      </c>
      <c r="S25" s="67"/>
    </row>
    <row r="26" spans="1:19" s="445" customFormat="1" ht="15.75" thickBot="1">
      <c r="A26" s="690" t="s">
        <v>704</v>
      </c>
      <c r="B26" s="811"/>
      <c r="C26" s="806">
        <f>SUM(C24:C25)</f>
        <v>9288.5784097262949</v>
      </c>
      <c r="D26" s="806">
        <f t="shared" ref="D26:R26" si="2">SUM(D24:D25)</f>
        <v>70579.28571428571</v>
      </c>
      <c r="E26" s="806">
        <f t="shared" si="2"/>
        <v>4253.2968075954814</v>
      </c>
      <c r="F26" s="806">
        <f t="shared" si="2"/>
        <v>323.24458044862172</v>
      </c>
      <c r="G26" s="806">
        <f t="shared" si="2"/>
        <v>28121.32766405704</v>
      </c>
      <c r="H26" s="806">
        <f t="shared" si="2"/>
        <v>0</v>
      </c>
      <c r="I26" s="806">
        <f t="shared" si="2"/>
        <v>0</v>
      </c>
      <c r="J26" s="806">
        <f t="shared" si="2"/>
        <v>0</v>
      </c>
      <c r="K26" s="806">
        <f t="shared" si="2"/>
        <v>2275.3107674195471</v>
      </c>
      <c r="L26" s="806">
        <f t="shared" si="2"/>
        <v>0</v>
      </c>
      <c r="M26" s="806">
        <f t="shared" si="2"/>
        <v>0</v>
      </c>
      <c r="N26" s="806">
        <f t="shared" si="2"/>
        <v>0</v>
      </c>
      <c r="O26" s="806">
        <f t="shared" si="2"/>
        <v>0</v>
      </c>
      <c r="P26" s="806">
        <f t="shared" si="2"/>
        <v>0</v>
      </c>
      <c r="Q26" s="806">
        <f t="shared" si="2"/>
        <v>0</v>
      </c>
      <c r="R26" s="806">
        <f t="shared" si="2"/>
        <v>114841.0439435327</v>
      </c>
      <c r="S26" s="67"/>
    </row>
    <row r="27" spans="1:19" s="445" customFormat="1" ht="17.25" thickTop="1" thickBot="1">
      <c r="A27" s="691" t="s">
        <v>115</v>
      </c>
      <c r="B27" s="798"/>
      <c r="C27" s="692">
        <f ca="1">C22+C16+C26</f>
        <v>41648.539377159395</v>
      </c>
      <c r="D27" s="692">
        <f t="shared" ref="D27:R27" ca="1" si="3">D22+D16+D26</f>
        <v>70579.28571428571</v>
      </c>
      <c r="E27" s="692">
        <f t="shared" ca="1" si="3"/>
        <v>41167.000844329086</v>
      </c>
      <c r="F27" s="692">
        <f t="shared" si="3"/>
        <v>1193.425942778448</v>
      </c>
      <c r="G27" s="692">
        <f t="shared" ca="1" si="3"/>
        <v>47652.825228569272</v>
      </c>
      <c r="H27" s="692">
        <f t="shared" si="3"/>
        <v>43926.838607347097</v>
      </c>
      <c r="I27" s="692">
        <f t="shared" si="3"/>
        <v>9268.8639049782796</v>
      </c>
      <c r="J27" s="692">
        <f t="shared" si="3"/>
        <v>0</v>
      </c>
      <c r="K27" s="692">
        <f t="shared" si="3"/>
        <v>2359.2084992066661</v>
      </c>
      <c r="L27" s="692">
        <f t="shared" si="3"/>
        <v>0</v>
      </c>
      <c r="M27" s="692">
        <f t="shared" ca="1" si="3"/>
        <v>0</v>
      </c>
      <c r="N27" s="692">
        <f t="shared" si="3"/>
        <v>3116.8635501834524</v>
      </c>
      <c r="O27" s="692">
        <f t="shared" ca="1" si="3"/>
        <v>4663.0468282872789</v>
      </c>
      <c r="P27" s="692">
        <f t="shared" si="3"/>
        <v>154.7487411121885</v>
      </c>
      <c r="Q27" s="692">
        <f t="shared" si="3"/>
        <v>694.97999784335138</v>
      </c>
      <c r="R27" s="692">
        <f t="shared" ca="1" si="3"/>
        <v>266425.62723608024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17.859925175155759</v>
      </c>
      <c r="D40" s="682">
        <f ca="1">tertiair!C20</f>
        <v>0</v>
      </c>
      <c r="E40" s="682">
        <f ca="1">tertiair!D20</f>
        <v>2533.4142887380717</v>
      </c>
      <c r="F40" s="682">
        <f>tertiair!E20</f>
        <v>10.234292425388558</v>
      </c>
      <c r="G40" s="682">
        <f ca="1">tertiair!F20</f>
        <v>541.91393184402511</v>
      </c>
      <c r="H40" s="682">
        <f>tertiair!G20</f>
        <v>0</v>
      </c>
      <c r="I40" s="682">
        <f>tertiair!H20</f>
        <v>0</v>
      </c>
      <c r="J40" s="682">
        <f>tertiair!I20</f>
        <v>0</v>
      </c>
      <c r="K40" s="682">
        <f>tertiair!J20</f>
        <v>5.6701001068722489E-3</v>
      </c>
      <c r="L40" s="682">
        <f>tertiair!K20</f>
        <v>0</v>
      </c>
      <c r="M40" s="682">
        <f ca="1">tertiair!L20</f>
        <v>0</v>
      </c>
      <c r="N40" s="682">
        <f>tertiair!M20</f>
        <v>0</v>
      </c>
      <c r="O40" s="682">
        <f ca="1">tertiair!N20</f>
        <v>0</v>
      </c>
      <c r="P40" s="682">
        <f>tertiair!O20</f>
        <v>0</v>
      </c>
      <c r="Q40" s="765">
        <f>tertiair!P20</f>
        <v>0</v>
      </c>
      <c r="R40" s="844">
        <f t="shared" ca="1" si="4"/>
        <v>3103.4281082827479</v>
      </c>
    </row>
    <row r="41" spans="1:18">
      <c r="A41" s="816" t="s">
        <v>220</v>
      </c>
      <c r="B41" s="823"/>
      <c r="C41" s="682">
        <f ca="1">huishoudens!B12</f>
        <v>16.173084452901026</v>
      </c>
      <c r="D41" s="682">
        <f ca="1">huishoudens!C12</f>
        <v>0</v>
      </c>
      <c r="E41" s="682">
        <f>huishoudens!D12</f>
        <v>4342.0262556678126</v>
      </c>
      <c r="F41" s="682">
        <f>huishoudens!E12</f>
        <v>162.90665812474839</v>
      </c>
      <c r="G41" s="682">
        <f>huishoudens!F12</f>
        <v>4352.2674719266615</v>
      </c>
      <c r="H41" s="682">
        <f>huishoudens!G12</f>
        <v>0</v>
      </c>
      <c r="I41" s="682">
        <f>huishoudens!H12</f>
        <v>0</v>
      </c>
      <c r="J41" s="682">
        <f>huishoudens!I12</f>
        <v>0</v>
      </c>
      <c r="K41" s="682">
        <f>huishoudens!J12</f>
        <v>28.868447891299599</v>
      </c>
      <c r="L41" s="682">
        <f>huishoudens!K12</f>
        <v>0</v>
      </c>
      <c r="M41" s="682">
        <f>huishoudens!L12</f>
        <v>0</v>
      </c>
      <c r="N41" s="682">
        <f>huishoudens!M12</f>
        <v>0</v>
      </c>
      <c r="O41" s="682">
        <f>huishoudens!N12</f>
        <v>0</v>
      </c>
      <c r="P41" s="682">
        <f>huishoudens!O12</f>
        <v>0</v>
      </c>
      <c r="Q41" s="765">
        <f>huishoudens!P12</f>
        <v>0</v>
      </c>
      <c r="R41" s="844">
        <f t="shared" ca="1" si="4"/>
        <v>8902.2419180634224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9.0672155146465236</v>
      </c>
      <c r="D43" s="682">
        <f ca="1">industrie!C22</f>
        <v>0</v>
      </c>
      <c r="E43" s="682">
        <f>industrie!D22</f>
        <v>550.30197403379191</v>
      </c>
      <c r="F43" s="682">
        <f>industrie!E22</f>
        <v>5.3335082798528468</v>
      </c>
      <c r="G43" s="682">
        <f>industrie!F22</f>
        <v>320.72844595408145</v>
      </c>
      <c r="H43" s="682">
        <f>industrie!G22</f>
        <v>0</v>
      </c>
      <c r="I43" s="682">
        <f>industrie!H22</f>
        <v>0</v>
      </c>
      <c r="J43" s="682">
        <f>industrie!I22</f>
        <v>0</v>
      </c>
      <c r="K43" s="682">
        <f>industrie!J22</f>
        <v>0.82567906123370272</v>
      </c>
      <c r="L43" s="682">
        <f>industrie!K22</f>
        <v>0</v>
      </c>
      <c r="M43" s="682">
        <f>industrie!L22</f>
        <v>0</v>
      </c>
      <c r="N43" s="682">
        <f>industrie!M22</f>
        <v>0</v>
      </c>
      <c r="O43" s="682">
        <f>industrie!N22</f>
        <v>0</v>
      </c>
      <c r="P43" s="682">
        <f>industrie!O22</f>
        <v>0</v>
      </c>
      <c r="Q43" s="765">
        <f>industrie!P22</f>
        <v>0</v>
      </c>
      <c r="R43" s="843">
        <f t="shared" ca="1" si="4"/>
        <v>886.2568228436063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43.100225142703309</v>
      </c>
      <c r="D46" s="718">
        <f t="shared" ref="D46:Q46" ca="1" si="5">SUM(D39:D45)</f>
        <v>0</v>
      </c>
      <c r="E46" s="718">
        <f t="shared" ca="1" si="5"/>
        <v>7425.742518439677</v>
      </c>
      <c r="F46" s="718">
        <f t="shared" si="5"/>
        <v>178.4744588299898</v>
      </c>
      <c r="G46" s="718">
        <f t="shared" ca="1" si="5"/>
        <v>5214.9098497247678</v>
      </c>
      <c r="H46" s="718">
        <f t="shared" si="5"/>
        <v>0</v>
      </c>
      <c r="I46" s="718">
        <f t="shared" si="5"/>
        <v>0</v>
      </c>
      <c r="J46" s="718">
        <f t="shared" si="5"/>
        <v>0</v>
      </c>
      <c r="K46" s="718">
        <f t="shared" si="5"/>
        <v>29.699797052640175</v>
      </c>
      <c r="L46" s="718">
        <f t="shared" si="5"/>
        <v>0</v>
      </c>
      <c r="M46" s="718">
        <f t="shared" ca="1" si="5"/>
        <v>0</v>
      </c>
      <c r="N46" s="718">
        <f t="shared" si="5"/>
        <v>0</v>
      </c>
      <c r="O46" s="718">
        <f t="shared" ca="1" si="5"/>
        <v>0</v>
      </c>
      <c r="P46" s="718">
        <f t="shared" si="5"/>
        <v>0</v>
      </c>
      <c r="Q46" s="718">
        <f t="shared" si="5"/>
        <v>0</v>
      </c>
      <c r="R46" s="718">
        <f ca="1">SUM(R39:R45)</f>
        <v>12891.926849189776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1.0610211122656655E-2</v>
      </c>
      <c r="D49" s="682">
        <f ca="1">transport!C58</f>
        <v>0</v>
      </c>
      <c r="E49" s="682">
        <f>transport!D58</f>
        <v>0</v>
      </c>
      <c r="F49" s="682">
        <f>transport!E58</f>
        <v>0</v>
      </c>
      <c r="G49" s="682">
        <f>transport!F58</f>
        <v>0</v>
      </c>
      <c r="H49" s="682">
        <f>transport!G58</f>
        <v>151.39189745035549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151.40250766147815</v>
      </c>
    </row>
    <row r="50" spans="1:18">
      <c r="A50" s="819" t="s">
        <v>302</v>
      </c>
      <c r="B50" s="829"/>
      <c r="C50" s="688">
        <f ca="1">transport!B18</f>
        <v>0.11129998525229907</v>
      </c>
      <c r="D50" s="688">
        <f>transport!C18</f>
        <v>0</v>
      </c>
      <c r="E50" s="688">
        <f>transport!D18</f>
        <v>30.825696980514323</v>
      </c>
      <c r="F50" s="688">
        <f>transport!E18</f>
        <v>19.056710418880776</v>
      </c>
      <c r="G50" s="688">
        <f>transport!F18</f>
        <v>0</v>
      </c>
      <c r="H50" s="688">
        <f>transport!G18</f>
        <v>11577.074010711322</v>
      </c>
      <c r="I50" s="688">
        <f>transport!H18</f>
        <v>2307.9471123395915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13935.014830435561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0.12191019637495573</v>
      </c>
      <c r="D52" s="718">
        <f t="shared" ref="D52:Q52" ca="1" si="6">SUM(D48:D51)</f>
        <v>0</v>
      </c>
      <c r="E52" s="718">
        <f t="shared" si="6"/>
        <v>30.825696980514323</v>
      </c>
      <c r="F52" s="718">
        <f t="shared" si="6"/>
        <v>19.056710418880776</v>
      </c>
      <c r="G52" s="718">
        <f t="shared" si="6"/>
        <v>0</v>
      </c>
      <c r="H52" s="718">
        <f t="shared" si="6"/>
        <v>11728.465908161677</v>
      </c>
      <c r="I52" s="718">
        <f t="shared" si="6"/>
        <v>2307.9471123395915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14086.417338097039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11.577145094461518</v>
      </c>
      <c r="D54" s="688">
        <f ca="1">+landbouw!C12</f>
        <v>106.94117647058827</v>
      </c>
      <c r="E54" s="688">
        <f>+landbouw!D12</f>
        <v>743.5966022891555</v>
      </c>
      <c r="F54" s="688">
        <f>+landbouw!E12</f>
        <v>73.37651976183713</v>
      </c>
      <c r="G54" s="688">
        <f>+landbouw!F12</f>
        <v>7508.3944863032302</v>
      </c>
      <c r="H54" s="688">
        <f>+landbouw!G12</f>
        <v>0</v>
      </c>
      <c r="I54" s="688">
        <f>+landbouw!H12</f>
        <v>0</v>
      </c>
      <c r="J54" s="688">
        <f>+landbouw!I12</f>
        <v>0</v>
      </c>
      <c r="K54" s="688">
        <f>+landbouw!J12</f>
        <v>805.46001166651968</v>
      </c>
      <c r="L54" s="688">
        <f>+landbouw!K12</f>
        <v>0</v>
      </c>
      <c r="M54" s="688">
        <f>+landbouw!L12</f>
        <v>0</v>
      </c>
      <c r="N54" s="688">
        <f>+landbouw!M12</f>
        <v>0</v>
      </c>
      <c r="O54" s="688">
        <f>+landbouw!N12</f>
        <v>0</v>
      </c>
      <c r="P54" s="688">
        <f>+landbouw!O12</f>
        <v>0</v>
      </c>
      <c r="Q54" s="689">
        <f>+landbouw!P12</f>
        <v>0</v>
      </c>
      <c r="R54" s="717">
        <f ca="1">SUM(C54:Q54)</f>
        <v>9249.3459415857906</v>
      </c>
    </row>
    <row r="55" spans="1:18" ht="15" thickBot="1">
      <c r="A55" s="819" t="s">
        <v>703</v>
      </c>
      <c r="B55" s="829"/>
      <c r="C55" s="688">
        <f ca="1">C25*'EF ele_warmte'!B12</f>
        <v>0.8293035269342206</v>
      </c>
      <c r="D55" s="688"/>
      <c r="E55" s="688">
        <f>E25*EF_CO2_aardgas</f>
        <v>115.56935284513183</v>
      </c>
      <c r="F55" s="688"/>
      <c r="G55" s="688"/>
      <c r="H55" s="688"/>
      <c r="I55" s="688"/>
      <c r="J55" s="688"/>
      <c r="K55" s="688"/>
      <c r="L55" s="688"/>
      <c r="M55" s="688"/>
      <c r="N55" s="688"/>
      <c r="O55" s="688"/>
      <c r="P55" s="688"/>
      <c r="Q55" s="689"/>
      <c r="R55" s="717">
        <f ca="1">SUM(C55:Q55)</f>
        <v>116.39865637206606</v>
      </c>
    </row>
    <row r="56" spans="1:18" ht="15.75" thickBot="1">
      <c r="A56" s="817" t="s">
        <v>704</v>
      </c>
      <c r="B56" s="830"/>
      <c r="C56" s="718">
        <f ca="1">SUM(C54:C55)</f>
        <v>12.406448621395738</v>
      </c>
      <c r="D56" s="718">
        <f t="shared" ref="D56:Q56" ca="1" si="7">SUM(D54:D55)</f>
        <v>106.94117647058827</v>
      </c>
      <c r="E56" s="718">
        <f t="shared" si="7"/>
        <v>859.16595513428729</v>
      </c>
      <c r="F56" s="718">
        <f t="shared" si="7"/>
        <v>73.37651976183713</v>
      </c>
      <c r="G56" s="718">
        <f t="shared" si="7"/>
        <v>7508.3944863032302</v>
      </c>
      <c r="H56" s="718">
        <f t="shared" si="7"/>
        <v>0</v>
      </c>
      <c r="I56" s="718">
        <f t="shared" si="7"/>
        <v>0</v>
      </c>
      <c r="J56" s="718">
        <f t="shared" si="7"/>
        <v>0</v>
      </c>
      <c r="K56" s="718">
        <f t="shared" si="7"/>
        <v>805.46001166651968</v>
      </c>
      <c r="L56" s="718">
        <f t="shared" si="7"/>
        <v>0</v>
      </c>
      <c r="M56" s="718">
        <f t="shared" si="7"/>
        <v>0</v>
      </c>
      <c r="N56" s="718">
        <f t="shared" si="7"/>
        <v>0</v>
      </c>
      <c r="O56" s="718">
        <f t="shared" si="7"/>
        <v>0</v>
      </c>
      <c r="P56" s="718">
        <f t="shared" si="7"/>
        <v>0</v>
      </c>
      <c r="Q56" s="719">
        <f t="shared" si="7"/>
        <v>0</v>
      </c>
      <c r="R56" s="720">
        <f ca="1">SUM(R54:R55)</f>
        <v>9365.744597957857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55.628583960474003</v>
      </c>
      <c r="D61" s="726">
        <f t="shared" ref="D61:Q61" ca="1" si="8">D46+D52+D56</f>
        <v>106.94117647058827</v>
      </c>
      <c r="E61" s="726">
        <f t="shared" ca="1" si="8"/>
        <v>8315.7341705544786</v>
      </c>
      <c r="F61" s="726">
        <f t="shared" si="8"/>
        <v>270.90768901070771</v>
      </c>
      <c r="G61" s="726">
        <f t="shared" ca="1" si="8"/>
        <v>12723.304336027999</v>
      </c>
      <c r="H61" s="726">
        <f t="shared" si="8"/>
        <v>11728.465908161677</v>
      </c>
      <c r="I61" s="726">
        <f t="shared" si="8"/>
        <v>2307.9471123395915</v>
      </c>
      <c r="J61" s="726">
        <f t="shared" si="8"/>
        <v>0</v>
      </c>
      <c r="K61" s="726">
        <f t="shared" si="8"/>
        <v>835.15980871915986</v>
      </c>
      <c r="L61" s="726">
        <f t="shared" si="8"/>
        <v>0</v>
      </c>
      <c r="M61" s="726">
        <f t="shared" ca="1" si="8"/>
        <v>0</v>
      </c>
      <c r="N61" s="726">
        <f t="shared" si="8"/>
        <v>0</v>
      </c>
      <c r="O61" s="726">
        <f t="shared" ca="1" si="8"/>
        <v>0</v>
      </c>
      <c r="P61" s="726">
        <f t="shared" si="8"/>
        <v>0</v>
      </c>
      <c r="Q61" s="726">
        <f t="shared" si="8"/>
        <v>0</v>
      </c>
      <c r="R61" s="726">
        <f ca="1">R46+R52+R56</f>
        <v>36344.088785244669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1.3356671036339259E-3</v>
      </c>
      <c r="D63" s="772">
        <f t="shared" ca="1" si="9"/>
        <v>1.5151921047132767E-3</v>
      </c>
      <c r="E63" s="964">
        <f t="shared" ca="1" si="9"/>
        <v>0.20200000000000007</v>
      </c>
      <c r="F63" s="772">
        <f t="shared" si="9"/>
        <v>0.22700000000000004</v>
      </c>
      <c r="G63" s="772">
        <f t="shared" ca="1" si="9"/>
        <v>0.26700000000000007</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6640.5187465459858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49090.5</v>
      </c>
      <c r="C76" s="739">
        <f>'lokale energieproductie'!B8*IFERROR(SUM(D76:H76)/SUM(D76:O76),0)</f>
        <v>315.00000000000011</v>
      </c>
      <c r="D76" s="947">
        <f>'lokale energieproductie'!C8</f>
        <v>370.58823529411779</v>
      </c>
      <c r="E76" s="948">
        <f>'lokale energieproductie'!D8</f>
        <v>0</v>
      </c>
      <c r="F76" s="948">
        <f>'lokale energieproductie'!E8</f>
        <v>0</v>
      </c>
      <c r="G76" s="948">
        <f>'lokale energieproductie'!F8</f>
        <v>0</v>
      </c>
      <c r="H76" s="948">
        <f>'lokale energieproductie'!G8</f>
        <v>0</v>
      </c>
      <c r="I76" s="948">
        <f>'lokale energieproductie'!I8</f>
        <v>0</v>
      </c>
      <c r="J76" s="948">
        <f>'lokale energieproductie'!J8</f>
        <v>57753.529411764706</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74.858823529411794</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55731.018746545989</v>
      </c>
      <c r="C78" s="744">
        <f>SUM(C72:C77)</f>
        <v>315.00000000000011</v>
      </c>
      <c r="D78" s="745">
        <f t="shared" ref="D78:H78" si="10">SUM(D76:D77)</f>
        <v>370.58823529411779</v>
      </c>
      <c r="E78" s="745">
        <f t="shared" si="10"/>
        <v>0</v>
      </c>
      <c r="F78" s="745">
        <f t="shared" si="10"/>
        <v>0</v>
      </c>
      <c r="G78" s="745">
        <f t="shared" si="10"/>
        <v>0</v>
      </c>
      <c r="H78" s="745">
        <f t="shared" si="10"/>
        <v>0</v>
      </c>
      <c r="I78" s="745">
        <f>SUM(I76:I77)</f>
        <v>0</v>
      </c>
      <c r="J78" s="745">
        <f>SUM(J76:J77)</f>
        <v>57753.529411764706</v>
      </c>
      <c r="K78" s="745">
        <f t="shared" ref="K78:L78" si="11">SUM(K76:K77)</f>
        <v>0</v>
      </c>
      <c r="L78" s="745">
        <f t="shared" si="11"/>
        <v>0</v>
      </c>
      <c r="M78" s="745">
        <f>SUM(M76:M77)</f>
        <v>0</v>
      </c>
      <c r="N78" s="745">
        <f>SUM(N76:N77)</f>
        <v>0</v>
      </c>
      <c r="O78" s="854">
        <f>SUM(O76:O77)</f>
        <v>0</v>
      </c>
      <c r="P78" s="746">
        <v>0</v>
      </c>
      <c r="Q78" s="746">
        <f>SUM(Q76:Q77)</f>
        <v>74.858823529411794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70129.28571428571</v>
      </c>
      <c r="C87" s="757">
        <f>'lokale energieproductie'!B17*IFERROR(SUM(D87:H87)/SUM(D87:O87),0)</f>
        <v>450.00000000000011</v>
      </c>
      <c r="D87" s="768">
        <f>'lokale energieproductie'!C17</f>
        <v>529.41176470588255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82505.042016806721</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106.94117647058827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70129.28571428571</v>
      </c>
      <c r="C90" s="744">
        <f>SUM(C87:C89)</f>
        <v>450.00000000000011</v>
      </c>
      <c r="D90" s="744">
        <f t="shared" ref="D90:H90" si="12">SUM(D87:D89)</f>
        <v>529.41176470588255</v>
      </c>
      <c r="E90" s="744">
        <f t="shared" si="12"/>
        <v>0</v>
      </c>
      <c r="F90" s="744">
        <f t="shared" si="12"/>
        <v>0</v>
      </c>
      <c r="G90" s="744">
        <f t="shared" si="12"/>
        <v>0</v>
      </c>
      <c r="H90" s="744">
        <f t="shared" si="12"/>
        <v>0</v>
      </c>
      <c r="I90" s="744">
        <f>SUM(I87:I89)</f>
        <v>0</v>
      </c>
      <c r="J90" s="744">
        <f>SUM(J87:J89)</f>
        <v>82505.042016806721</v>
      </c>
      <c r="K90" s="744">
        <f t="shared" ref="K90:L90" si="13">SUM(K87:K89)</f>
        <v>0</v>
      </c>
      <c r="L90" s="744">
        <f t="shared" si="13"/>
        <v>0</v>
      </c>
      <c r="M90" s="744">
        <f>SUM(M87:M89)</f>
        <v>0</v>
      </c>
      <c r="N90" s="744">
        <f>SUM(N87:N89)</f>
        <v>0</v>
      </c>
      <c r="O90" s="744">
        <f>SUM(O87:O89)</f>
        <v>0</v>
      </c>
      <c r="P90" s="744">
        <v>0</v>
      </c>
      <c r="Q90" s="744">
        <f>SUM(Q87:Q89)</f>
        <v>106.94117647058827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12108.619287619798</v>
      </c>
      <c r="C4" s="449">
        <f>huishoudens!C8</f>
        <v>0</v>
      </c>
      <c r="D4" s="449">
        <f>huishoudens!D8</f>
        <v>21495.17948350402</v>
      </c>
      <c r="E4" s="449">
        <f>huishoudens!E8</f>
        <v>717.65047632047742</v>
      </c>
      <c r="F4" s="449">
        <f>huishoudens!F8</f>
        <v>16300.627235680378</v>
      </c>
      <c r="G4" s="449">
        <f>huishoudens!G8</f>
        <v>0</v>
      </c>
      <c r="H4" s="449">
        <f>huishoudens!H8</f>
        <v>0</v>
      </c>
      <c r="I4" s="449">
        <f>huishoudens!I8</f>
        <v>0</v>
      </c>
      <c r="J4" s="449">
        <f>huishoudens!J8</f>
        <v>81.549287828529941</v>
      </c>
      <c r="K4" s="449">
        <f>huishoudens!K8</f>
        <v>0</v>
      </c>
      <c r="L4" s="449">
        <f>huishoudens!L8</f>
        <v>0</v>
      </c>
      <c r="M4" s="449">
        <f>huishoudens!M8</f>
        <v>0</v>
      </c>
      <c r="N4" s="449">
        <f>huishoudens!N8</f>
        <v>3800.2239937735676</v>
      </c>
      <c r="O4" s="449">
        <f>huishoudens!O8</f>
        <v>154.7487411121885</v>
      </c>
      <c r="P4" s="450">
        <f>huishoudens!P8</f>
        <v>589.90172123036132</v>
      </c>
      <c r="Q4" s="451">
        <f>SUM(B4:P4)</f>
        <v>55248.500227069322</v>
      </c>
    </row>
    <row r="5" spans="1:17">
      <c r="A5" s="448" t="s">
        <v>155</v>
      </c>
      <c r="B5" s="449">
        <f ca="1">tertiair!B16</f>
        <v>12803.798305388729</v>
      </c>
      <c r="C5" s="449">
        <f ca="1">tertiair!C16</f>
        <v>0</v>
      </c>
      <c r="D5" s="449">
        <f ca="1">tertiair!D16</f>
        <v>12541.654894742929</v>
      </c>
      <c r="E5" s="449">
        <f>tertiair!E16</f>
        <v>45.08498865809937</v>
      </c>
      <c r="F5" s="449">
        <f ca="1">tertiair!F16</f>
        <v>2029.6401941723786</v>
      </c>
      <c r="G5" s="449">
        <f>tertiair!G16</f>
        <v>0</v>
      </c>
      <c r="H5" s="449">
        <f>tertiair!H16</f>
        <v>0</v>
      </c>
      <c r="I5" s="449">
        <f>tertiair!I16</f>
        <v>0</v>
      </c>
      <c r="J5" s="449">
        <f>tertiair!J16</f>
        <v>1.6017231940317088E-2</v>
      </c>
      <c r="K5" s="449">
        <f>tertiair!K16</f>
        <v>0</v>
      </c>
      <c r="L5" s="449">
        <f ca="1">tertiair!L16</f>
        <v>0</v>
      </c>
      <c r="M5" s="449">
        <f>tertiair!M16</f>
        <v>0</v>
      </c>
      <c r="N5" s="449">
        <f ca="1">tertiair!N16</f>
        <v>592.19405369337221</v>
      </c>
      <c r="O5" s="449">
        <f>tertiair!O16</f>
        <v>0</v>
      </c>
      <c r="P5" s="450">
        <f>tertiair!P16</f>
        <v>105.07827661299004</v>
      </c>
      <c r="Q5" s="448">
        <f t="shared" ref="Q5:Q14" ca="1" si="0">SUM(B5:P5)</f>
        <v>28117.466730500437</v>
      </c>
    </row>
    <row r="6" spans="1:17">
      <c r="A6" s="448" t="s">
        <v>193</v>
      </c>
      <c r="B6" s="449">
        <f>'openbare verlichting'!B8</f>
        <v>567.74099999999999</v>
      </c>
      <c r="C6" s="449"/>
      <c r="D6" s="449"/>
      <c r="E6" s="449"/>
      <c r="F6" s="449"/>
      <c r="G6" s="449"/>
      <c r="H6" s="449"/>
      <c r="I6" s="449"/>
      <c r="J6" s="449"/>
      <c r="K6" s="449"/>
      <c r="L6" s="449"/>
      <c r="M6" s="449"/>
      <c r="N6" s="449"/>
      <c r="O6" s="449"/>
      <c r="P6" s="450"/>
      <c r="Q6" s="448">
        <f t="shared" si="0"/>
        <v>567.74099999999999</v>
      </c>
    </row>
    <row r="7" spans="1:17">
      <c r="A7" s="448" t="s">
        <v>111</v>
      </c>
      <c r="B7" s="449">
        <f>landbouw!B8</f>
        <v>8667.6875270520504</v>
      </c>
      <c r="C7" s="449">
        <f>landbouw!C8</f>
        <v>70579.28571428571</v>
      </c>
      <c r="D7" s="449">
        <f>landbouw!D8</f>
        <v>3681.1712984611659</v>
      </c>
      <c r="E7" s="449">
        <f>landbouw!E8</f>
        <v>323.24458044862172</v>
      </c>
      <c r="F7" s="449">
        <f>landbouw!F8</f>
        <v>28121.32766405704</v>
      </c>
      <c r="G7" s="449">
        <f>landbouw!G8</f>
        <v>0</v>
      </c>
      <c r="H7" s="449">
        <f>landbouw!H8</f>
        <v>0</v>
      </c>
      <c r="I7" s="449">
        <f>landbouw!I8</f>
        <v>0</v>
      </c>
      <c r="J7" s="449">
        <f>landbouw!J8</f>
        <v>2275.3107674195471</v>
      </c>
      <c r="K7" s="449">
        <f>landbouw!K8</f>
        <v>0</v>
      </c>
      <c r="L7" s="449">
        <f>landbouw!L8</f>
        <v>0</v>
      </c>
      <c r="M7" s="449">
        <f>landbouw!M8</f>
        <v>0</v>
      </c>
      <c r="N7" s="449">
        <f>landbouw!N8</f>
        <v>0</v>
      </c>
      <c r="O7" s="449">
        <f>landbouw!O8</f>
        <v>0</v>
      </c>
      <c r="P7" s="450">
        <f>landbouw!P8</f>
        <v>0</v>
      </c>
      <c r="Q7" s="448">
        <f t="shared" si="0"/>
        <v>113648.02755172414</v>
      </c>
    </row>
    <row r="8" spans="1:17">
      <c r="A8" s="448" t="s">
        <v>618</v>
      </c>
      <c r="B8" s="449">
        <f>industrie!B18</f>
        <v>6788.5294846129773</v>
      </c>
      <c r="C8" s="449">
        <f>industrie!C18</f>
        <v>0</v>
      </c>
      <c r="D8" s="449">
        <f>industrie!D18</f>
        <v>2724.2671981870885</v>
      </c>
      <c r="E8" s="449">
        <f>industrie!E18</f>
        <v>23.495631188779061</v>
      </c>
      <c r="F8" s="449">
        <f>industrie!F18</f>
        <v>1201.2301346594811</v>
      </c>
      <c r="G8" s="449">
        <f>industrie!G18</f>
        <v>0</v>
      </c>
      <c r="H8" s="449">
        <f>industrie!H18</f>
        <v>0</v>
      </c>
      <c r="I8" s="449">
        <f>industrie!I18</f>
        <v>0</v>
      </c>
      <c r="J8" s="449">
        <f>industrie!J18</f>
        <v>2.3324267266488778</v>
      </c>
      <c r="K8" s="449">
        <f>industrie!K18</f>
        <v>0</v>
      </c>
      <c r="L8" s="449">
        <f>industrie!L18</f>
        <v>0</v>
      </c>
      <c r="M8" s="449">
        <f>industrie!M18</f>
        <v>0</v>
      </c>
      <c r="N8" s="449">
        <f>industrie!N18</f>
        <v>270.6287808203391</v>
      </c>
      <c r="O8" s="449">
        <f>industrie!O18</f>
        <v>0</v>
      </c>
      <c r="P8" s="450">
        <f>industrie!P18</f>
        <v>0</v>
      </c>
      <c r="Q8" s="448">
        <f t="shared" si="0"/>
        <v>11010.483656195316</v>
      </c>
    </row>
    <row r="9" spans="1:17" s="454" customFormat="1">
      <c r="A9" s="452" t="s">
        <v>544</v>
      </c>
      <c r="B9" s="453">
        <f>transport!B14</f>
        <v>83.329135642771448</v>
      </c>
      <c r="C9" s="453">
        <f>transport!C14</f>
        <v>0</v>
      </c>
      <c r="D9" s="453">
        <f>transport!D14</f>
        <v>152.60246029957585</v>
      </c>
      <c r="E9" s="453">
        <f>transport!E14</f>
        <v>83.950266162470371</v>
      </c>
      <c r="F9" s="453">
        <f>transport!F14</f>
        <v>0</v>
      </c>
      <c r="G9" s="453">
        <f>transport!G14</f>
        <v>43359.82775547311</v>
      </c>
      <c r="H9" s="453">
        <f>transport!H14</f>
        <v>9268.8639049782796</v>
      </c>
      <c r="I9" s="453">
        <f>transport!I14</f>
        <v>0</v>
      </c>
      <c r="J9" s="453">
        <f>transport!J14</f>
        <v>0</v>
      </c>
      <c r="K9" s="453">
        <f>transport!K14</f>
        <v>0</v>
      </c>
      <c r="L9" s="453">
        <f>transport!L14</f>
        <v>0</v>
      </c>
      <c r="M9" s="453">
        <f>transport!M14</f>
        <v>3085.5540082466823</v>
      </c>
      <c r="N9" s="453">
        <f>transport!N14</f>
        <v>0</v>
      </c>
      <c r="O9" s="453">
        <f>transport!O14</f>
        <v>0</v>
      </c>
      <c r="P9" s="453">
        <f>transport!P14</f>
        <v>0</v>
      </c>
      <c r="Q9" s="452">
        <f>SUM(B9:P9)</f>
        <v>56034.127530802893</v>
      </c>
    </row>
    <row r="10" spans="1:17">
      <c r="A10" s="448" t="s">
        <v>534</v>
      </c>
      <c r="B10" s="449">
        <f>transport!B54</f>
        <v>7.9437541688266791</v>
      </c>
      <c r="C10" s="449">
        <f>transport!C54</f>
        <v>0</v>
      </c>
      <c r="D10" s="449">
        <f>transport!D54</f>
        <v>0</v>
      </c>
      <c r="E10" s="449">
        <f>transport!E54</f>
        <v>0</v>
      </c>
      <c r="F10" s="449">
        <f>transport!F54</f>
        <v>0</v>
      </c>
      <c r="G10" s="449">
        <f>transport!G54</f>
        <v>567.01085187399053</v>
      </c>
      <c r="H10" s="449">
        <f>transport!H54</f>
        <v>0</v>
      </c>
      <c r="I10" s="449">
        <f>transport!I54</f>
        <v>0</v>
      </c>
      <c r="J10" s="449">
        <f>transport!J54</f>
        <v>0</v>
      </c>
      <c r="K10" s="449">
        <f>transport!K54</f>
        <v>0</v>
      </c>
      <c r="L10" s="449">
        <f>transport!L54</f>
        <v>0</v>
      </c>
      <c r="M10" s="449">
        <f>transport!M54</f>
        <v>31.309541936770195</v>
      </c>
      <c r="N10" s="449">
        <f>transport!N54</f>
        <v>0</v>
      </c>
      <c r="O10" s="449">
        <f>transport!O54</f>
        <v>0</v>
      </c>
      <c r="P10" s="450">
        <f>transport!P54</f>
        <v>0</v>
      </c>
      <c r="Q10" s="448">
        <f t="shared" si="0"/>
        <v>606.26414797958739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620.89088267424506</v>
      </c>
      <c r="C14" s="456"/>
      <c r="D14" s="456">
        <f>'SEAP template'!E25</f>
        <v>572.12550913431596</v>
      </c>
      <c r="E14" s="456"/>
      <c r="F14" s="456"/>
      <c r="G14" s="456"/>
      <c r="H14" s="456"/>
      <c r="I14" s="456"/>
      <c r="J14" s="456"/>
      <c r="K14" s="456"/>
      <c r="L14" s="456"/>
      <c r="M14" s="456"/>
      <c r="N14" s="456"/>
      <c r="O14" s="456"/>
      <c r="P14" s="457"/>
      <c r="Q14" s="448">
        <f t="shared" si="0"/>
        <v>1193.0163918085609</v>
      </c>
    </row>
    <row r="15" spans="1:17" s="460" customFormat="1">
      <c r="A15" s="458" t="s">
        <v>538</v>
      </c>
      <c r="B15" s="459">
        <f ca="1">SUM(B4:B14)</f>
        <v>41648.539377159403</v>
      </c>
      <c r="C15" s="459">
        <f t="shared" ref="C15:Q15" ca="1" si="1">SUM(C4:C14)</f>
        <v>70579.28571428571</v>
      </c>
      <c r="D15" s="459">
        <f t="shared" ca="1" si="1"/>
        <v>41167.000844329094</v>
      </c>
      <c r="E15" s="459">
        <f t="shared" si="1"/>
        <v>1193.425942778448</v>
      </c>
      <c r="F15" s="459">
        <f t="shared" ca="1" si="1"/>
        <v>47652.82522856928</v>
      </c>
      <c r="G15" s="459">
        <f t="shared" si="1"/>
        <v>43926.838607347097</v>
      </c>
      <c r="H15" s="459">
        <f t="shared" si="1"/>
        <v>9268.8639049782796</v>
      </c>
      <c r="I15" s="459">
        <f t="shared" si="1"/>
        <v>0</v>
      </c>
      <c r="J15" s="459">
        <f t="shared" si="1"/>
        <v>2359.2084992066661</v>
      </c>
      <c r="K15" s="459">
        <f t="shared" si="1"/>
        <v>0</v>
      </c>
      <c r="L15" s="459">
        <f t="shared" ca="1" si="1"/>
        <v>0</v>
      </c>
      <c r="M15" s="459">
        <f t="shared" si="1"/>
        <v>3116.8635501834524</v>
      </c>
      <c r="N15" s="459">
        <f t="shared" ca="1" si="1"/>
        <v>4663.0468282872789</v>
      </c>
      <c r="O15" s="459">
        <f t="shared" si="1"/>
        <v>154.7487411121885</v>
      </c>
      <c r="P15" s="459">
        <f t="shared" si="1"/>
        <v>694.97999784335138</v>
      </c>
      <c r="Q15" s="459">
        <f t="shared" ca="1" si="1"/>
        <v>266425.6272360803</v>
      </c>
    </row>
    <row r="17" spans="1:17">
      <c r="A17" s="461" t="s">
        <v>539</v>
      </c>
      <c r="B17" s="777">
        <f ca="1">huishoudens!B10</f>
        <v>1.3356671036339259E-3</v>
      </c>
      <c r="C17" s="777">
        <f ca="1">huishoudens!C10</f>
        <v>1.5151921047132767E-3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16.173084452901026</v>
      </c>
      <c r="C22" s="449">
        <f t="shared" ref="C22:C32" ca="1" si="3">C4*$C$17</f>
        <v>0</v>
      </c>
      <c r="D22" s="449">
        <f t="shared" ref="D22:D32" si="4">D4*$D$17</f>
        <v>4342.0262556678126</v>
      </c>
      <c r="E22" s="449">
        <f t="shared" ref="E22:E32" si="5">E4*$E$17</f>
        <v>162.90665812474839</v>
      </c>
      <c r="F22" s="449">
        <f t="shared" ref="F22:F32" si="6">F4*$F$17</f>
        <v>4352.2674719266615</v>
      </c>
      <c r="G22" s="449">
        <f t="shared" ref="G22:G32" si="7">G4*$G$17</f>
        <v>0</v>
      </c>
      <c r="H22" s="449">
        <f t="shared" ref="H22:H32" si="8">H4*$H$17</f>
        <v>0</v>
      </c>
      <c r="I22" s="449">
        <f t="shared" ref="I22:I32" si="9">I4*$I$17</f>
        <v>0</v>
      </c>
      <c r="J22" s="449">
        <f t="shared" ref="J22:J32" si="10">J4*$J$17</f>
        <v>28.868447891299599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8902.2419180634224</v>
      </c>
    </row>
    <row r="23" spans="1:17">
      <c r="A23" s="448" t="s">
        <v>155</v>
      </c>
      <c r="B23" s="449">
        <f t="shared" ca="1" si="2"/>
        <v>17.101612198071532</v>
      </c>
      <c r="C23" s="449">
        <f t="shared" ca="1" si="3"/>
        <v>0</v>
      </c>
      <c r="D23" s="449">
        <f t="shared" ca="1" si="4"/>
        <v>2533.4142887380717</v>
      </c>
      <c r="E23" s="449">
        <f t="shared" si="5"/>
        <v>10.234292425388558</v>
      </c>
      <c r="F23" s="449">
        <f t="shared" ca="1" si="6"/>
        <v>541.91393184402511</v>
      </c>
      <c r="G23" s="449">
        <f t="shared" si="7"/>
        <v>0</v>
      </c>
      <c r="H23" s="449">
        <f t="shared" si="8"/>
        <v>0</v>
      </c>
      <c r="I23" s="449">
        <f t="shared" si="9"/>
        <v>0</v>
      </c>
      <c r="J23" s="449">
        <f t="shared" si="10"/>
        <v>5.6701001068722489E-3</v>
      </c>
      <c r="K23" s="449">
        <f t="shared" si="11"/>
        <v>0</v>
      </c>
      <c r="L23" s="449">
        <f t="shared" ca="1" si="12"/>
        <v>0</v>
      </c>
      <c r="M23" s="449">
        <f t="shared" si="13"/>
        <v>0</v>
      </c>
      <c r="N23" s="449">
        <f t="shared" ca="1" si="14"/>
        <v>0</v>
      </c>
      <c r="O23" s="449">
        <f t="shared" si="15"/>
        <v>0</v>
      </c>
      <c r="P23" s="450">
        <f t="shared" si="16"/>
        <v>0</v>
      </c>
      <c r="Q23" s="448">
        <f t="shared" ref="Q23:Q31" ca="1" si="17">SUM(B23:P23)</f>
        <v>3102.6697953056637</v>
      </c>
    </row>
    <row r="24" spans="1:17">
      <c r="A24" s="448" t="s">
        <v>193</v>
      </c>
      <c r="B24" s="449">
        <f t="shared" ca="1" si="2"/>
        <v>0.75831297708422873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0.75831297708422873</v>
      </c>
    </row>
    <row r="25" spans="1:17">
      <c r="A25" s="448" t="s">
        <v>111</v>
      </c>
      <c r="B25" s="449">
        <f t="shared" ca="1" si="2"/>
        <v>11.577145094461518</v>
      </c>
      <c r="C25" s="449">
        <f t="shared" ca="1" si="3"/>
        <v>106.94117647058827</v>
      </c>
      <c r="D25" s="449">
        <f t="shared" si="4"/>
        <v>743.5966022891555</v>
      </c>
      <c r="E25" s="449">
        <f t="shared" si="5"/>
        <v>73.37651976183713</v>
      </c>
      <c r="F25" s="449">
        <f t="shared" si="6"/>
        <v>7508.3944863032302</v>
      </c>
      <c r="G25" s="449">
        <f t="shared" si="7"/>
        <v>0</v>
      </c>
      <c r="H25" s="449">
        <f t="shared" si="8"/>
        <v>0</v>
      </c>
      <c r="I25" s="449">
        <f t="shared" si="9"/>
        <v>0</v>
      </c>
      <c r="J25" s="449">
        <f t="shared" si="10"/>
        <v>805.46001166651968</v>
      </c>
      <c r="K25" s="449">
        <f t="shared" si="11"/>
        <v>0</v>
      </c>
      <c r="L25" s="449">
        <f t="shared" si="12"/>
        <v>0</v>
      </c>
      <c r="M25" s="449">
        <f t="shared" si="13"/>
        <v>0</v>
      </c>
      <c r="N25" s="449">
        <f t="shared" si="14"/>
        <v>0</v>
      </c>
      <c r="O25" s="449">
        <f t="shared" si="15"/>
        <v>0</v>
      </c>
      <c r="P25" s="450">
        <f t="shared" si="16"/>
        <v>0</v>
      </c>
      <c r="Q25" s="448">
        <f t="shared" ca="1" si="17"/>
        <v>9249.3459415857906</v>
      </c>
    </row>
    <row r="26" spans="1:17">
      <c r="A26" s="448" t="s">
        <v>618</v>
      </c>
      <c r="B26" s="449">
        <f t="shared" ca="1" si="2"/>
        <v>9.0672155146465236</v>
      </c>
      <c r="C26" s="449">
        <f t="shared" ca="1" si="3"/>
        <v>0</v>
      </c>
      <c r="D26" s="449">
        <f t="shared" si="4"/>
        <v>550.30197403379191</v>
      </c>
      <c r="E26" s="449">
        <f t="shared" si="5"/>
        <v>5.3335082798528468</v>
      </c>
      <c r="F26" s="449">
        <f t="shared" si="6"/>
        <v>320.72844595408145</v>
      </c>
      <c r="G26" s="449">
        <f t="shared" si="7"/>
        <v>0</v>
      </c>
      <c r="H26" s="449">
        <f t="shared" si="8"/>
        <v>0</v>
      </c>
      <c r="I26" s="449">
        <f t="shared" si="9"/>
        <v>0</v>
      </c>
      <c r="J26" s="449">
        <f t="shared" si="10"/>
        <v>0.82567906123370272</v>
      </c>
      <c r="K26" s="449">
        <f t="shared" si="11"/>
        <v>0</v>
      </c>
      <c r="L26" s="449">
        <f t="shared" si="12"/>
        <v>0</v>
      </c>
      <c r="M26" s="449">
        <f t="shared" si="13"/>
        <v>0</v>
      </c>
      <c r="N26" s="449">
        <f t="shared" si="14"/>
        <v>0</v>
      </c>
      <c r="O26" s="449">
        <f t="shared" si="15"/>
        <v>0</v>
      </c>
      <c r="P26" s="450">
        <f t="shared" si="16"/>
        <v>0</v>
      </c>
      <c r="Q26" s="448">
        <f t="shared" ca="1" si="17"/>
        <v>886.2568228436063</v>
      </c>
    </row>
    <row r="27" spans="1:17" s="454" customFormat="1">
      <c r="A27" s="452" t="s">
        <v>544</v>
      </c>
      <c r="B27" s="771">
        <f t="shared" ca="1" si="2"/>
        <v>0.11129998525229907</v>
      </c>
      <c r="C27" s="453">
        <f t="shared" ca="1" si="3"/>
        <v>0</v>
      </c>
      <c r="D27" s="453">
        <f t="shared" si="4"/>
        <v>30.825696980514323</v>
      </c>
      <c r="E27" s="453">
        <f t="shared" si="5"/>
        <v>19.056710418880776</v>
      </c>
      <c r="F27" s="453">
        <f t="shared" si="6"/>
        <v>0</v>
      </c>
      <c r="G27" s="453">
        <f t="shared" si="7"/>
        <v>11577.074010711322</v>
      </c>
      <c r="H27" s="453">
        <f t="shared" si="8"/>
        <v>2307.9471123395915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13935.014830435561</v>
      </c>
    </row>
    <row r="28" spans="1:17" ht="16.5" customHeight="1">
      <c r="A28" s="448" t="s">
        <v>534</v>
      </c>
      <c r="B28" s="449">
        <f t="shared" ca="1" si="2"/>
        <v>1.0610211122656655E-2</v>
      </c>
      <c r="C28" s="449">
        <f t="shared" ca="1" si="3"/>
        <v>0</v>
      </c>
      <c r="D28" s="449">
        <f t="shared" si="4"/>
        <v>0</v>
      </c>
      <c r="E28" s="449">
        <f t="shared" si="5"/>
        <v>0</v>
      </c>
      <c r="F28" s="449">
        <f t="shared" si="6"/>
        <v>0</v>
      </c>
      <c r="G28" s="449">
        <f t="shared" si="7"/>
        <v>151.39189745035549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151.40250766147815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0.8293035269342206</v>
      </c>
      <c r="C32" s="449">
        <f t="shared" ca="1" si="3"/>
        <v>0</v>
      </c>
      <c r="D32" s="449">
        <f t="shared" si="4"/>
        <v>115.56935284513183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116.39865637206606</v>
      </c>
    </row>
    <row r="33" spans="1:17" s="460" customFormat="1">
      <c r="A33" s="458" t="s">
        <v>538</v>
      </c>
      <c r="B33" s="459">
        <f ca="1">SUM(B22:B32)</f>
        <v>55.628583960473996</v>
      </c>
      <c r="C33" s="459">
        <f t="shared" ref="C33:Q33" ca="1" si="19">SUM(C22:C32)</f>
        <v>106.94117647058827</v>
      </c>
      <c r="D33" s="459">
        <f t="shared" ca="1" si="19"/>
        <v>8315.7341705544786</v>
      </c>
      <c r="E33" s="459">
        <f t="shared" si="19"/>
        <v>270.90768901070771</v>
      </c>
      <c r="F33" s="459">
        <f t="shared" ca="1" si="19"/>
        <v>12723.304336027997</v>
      </c>
      <c r="G33" s="459">
        <f t="shared" si="19"/>
        <v>11728.465908161677</v>
      </c>
      <c r="H33" s="459">
        <f t="shared" si="19"/>
        <v>2307.9471123395915</v>
      </c>
      <c r="I33" s="459">
        <f t="shared" si="19"/>
        <v>0</v>
      </c>
      <c r="J33" s="459">
        <f t="shared" si="19"/>
        <v>835.15980871915986</v>
      </c>
      <c r="K33" s="459">
        <f t="shared" si="19"/>
        <v>0</v>
      </c>
      <c r="L33" s="459">
        <f t="shared" ca="1" si="19"/>
        <v>0</v>
      </c>
      <c r="M33" s="459">
        <f t="shared" si="19"/>
        <v>0</v>
      </c>
      <c r="N33" s="459">
        <f t="shared" ca="1" si="19"/>
        <v>0</v>
      </c>
      <c r="O33" s="459">
        <f t="shared" si="19"/>
        <v>0</v>
      </c>
      <c r="P33" s="459">
        <f t="shared" si="19"/>
        <v>0</v>
      </c>
      <c r="Q33" s="459">
        <f t="shared" ca="1" si="19"/>
        <v>36344.088785244676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6640.5187465459858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49090.5</v>
      </c>
      <c r="C8" s="1015">
        <f>'SEAP template'!C76</f>
        <v>315.00000000000011</v>
      </c>
      <c r="D8" s="1015">
        <f>'SEAP template'!D76</f>
        <v>370.58823529411779</v>
      </c>
      <c r="E8" s="1015">
        <f>'SEAP template'!E76</f>
        <v>0</v>
      </c>
      <c r="F8" s="1015">
        <f>'SEAP template'!F76</f>
        <v>0</v>
      </c>
      <c r="G8" s="1015">
        <f>'SEAP template'!G76</f>
        <v>0</v>
      </c>
      <c r="H8" s="1015">
        <f>'SEAP template'!H76</f>
        <v>0</v>
      </c>
      <c r="I8" s="1015">
        <f>'SEAP template'!I76</f>
        <v>0</v>
      </c>
      <c r="J8" s="1015">
        <f>'SEAP template'!J76</f>
        <v>57753.529411764706</v>
      </c>
      <c r="K8" s="1015">
        <f>'SEAP template'!K76</f>
        <v>0</v>
      </c>
      <c r="L8" s="1015">
        <f>'SEAP template'!L76</f>
        <v>0</v>
      </c>
      <c r="M8" s="1015">
        <f>'SEAP template'!M76</f>
        <v>0</v>
      </c>
      <c r="N8" s="1015">
        <f>'SEAP template'!N76</f>
        <v>0</v>
      </c>
      <c r="O8" s="1015">
        <f>'SEAP template'!O76</f>
        <v>0</v>
      </c>
      <c r="P8" s="1016">
        <f>'SEAP template'!Q76</f>
        <v>74.858823529411794</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55731.018746545989</v>
      </c>
      <c r="C10" s="1017">
        <f>SUM(C4:C9)</f>
        <v>315.00000000000011</v>
      </c>
      <c r="D10" s="1017">
        <f t="shared" ref="D10:H10" si="0">SUM(D8:D9)</f>
        <v>370.58823529411779</v>
      </c>
      <c r="E10" s="1017">
        <f t="shared" si="0"/>
        <v>0</v>
      </c>
      <c r="F10" s="1017">
        <f t="shared" si="0"/>
        <v>0</v>
      </c>
      <c r="G10" s="1017">
        <f t="shared" si="0"/>
        <v>0</v>
      </c>
      <c r="H10" s="1017">
        <f t="shared" si="0"/>
        <v>0</v>
      </c>
      <c r="I10" s="1017">
        <f>SUM(I8:I9)</f>
        <v>0</v>
      </c>
      <c r="J10" s="1017">
        <f>SUM(J8:J9)</f>
        <v>57753.529411764706</v>
      </c>
      <c r="K10" s="1017">
        <f t="shared" ref="K10:L10" si="1">SUM(K8:K9)</f>
        <v>0</v>
      </c>
      <c r="L10" s="1017">
        <f t="shared" si="1"/>
        <v>0</v>
      </c>
      <c r="M10" s="1017">
        <f>SUM(M8:M9)</f>
        <v>0</v>
      </c>
      <c r="N10" s="1017">
        <f>SUM(N8:N9)</f>
        <v>0</v>
      </c>
      <c r="O10" s="1017">
        <f>SUM(O8:O9)</f>
        <v>0</v>
      </c>
      <c r="P10" s="1017">
        <f>SUM(P8:P9)</f>
        <v>74.858823529411794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1.3356671036339259E-3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70129.28571428571</v>
      </c>
      <c r="C17" s="1018">
        <f>'SEAP template'!C87</f>
        <v>450.00000000000011</v>
      </c>
      <c r="D17" s="1016">
        <f>'SEAP template'!D87</f>
        <v>529.41176470588255</v>
      </c>
      <c r="E17" s="1016">
        <f>'SEAP template'!E87</f>
        <v>0</v>
      </c>
      <c r="F17" s="1016">
        <f>'SEAP template'!F87</f>
        <v>0</v>
      </c>
      <c r="G17" s="1016">
        <f>'SEAP template'!G87</f>
        <v>0</v>
      </c>
      <c r="H17" s="1016">
        <f>'SEAP template'!H87</f>
        <v>0</v>
      </c>
      <c r="I17" s="1016">
        <f>'SEAP template'!I87</f>
        <v>0</v>
      </c>
      <c r="J17" s="1016">
        <f>'SEAP template'!J87</f>
        <v>82505.042016806721</v>
      </c>
      <c r="K17" s="1016">
        <f>'SEAP template'!K87</f>
        <v>0</v>
      </c>
      <c r="L17" s="1016">
        <f>'SEAP template'!L87</f>
        <v>0</v>
      </c>
      <c r="M17" s="1016">
        <f>'SEAP template'!M87</f>
        <v>0</v>
      </c>
      <c r="N17" s="1016">
        <f>'SEAP template'!N87</f>
        <v>0</v>
      </c>
      <c r="O17" s="1016">
        <f>'SEAP template'!O87</f>
        <v>0</v>
      </c>
      <c r="P17" s="1016">
        <f>'SEAP template'!Q87</f>
        <v>106.94117647058827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70129.28571428571</v>
      </c>
      <c r="C20" s="1017">
        <f>SUM(C17:C19)</f>
        <v>450.00000000000011</v>
      </c>
      <c r="D20" s="1017">
        <f t="shared" ref="D20:H20" si="2">SUM(D17:D19)</f>
        <v>529.41176470588255</v>
      </c>
      <c r="E20" s="1017">
        <f t="shared" si="2"/>
        <v>0</v>
      </c>
      <c r="F20" s="1017">
        <f t="shared" si="2"/>
        <v>0</v>
      </c>
      <c r="G20" s="1017">
        <f t="shared" si="2"/>
        <v>0</v>
      </c>
      <c r="H20" s="1017">
        <f t="shared" si="2"/>
        <v>0</v>
      </c>
      <c r="I20" s="1017">
        <f>SUM(I17:I19)</f>
        <v>0</v>
      </c>
      <c r="J20" s="1017">
        <f>SUM(J17:J19)</f>
        <v>82505.042016806721</v>
      </c>
      <c r="K20" s="1017">
        <f t="shared" ref="K20:L20" si="3">SUM(K17:K19)</f>
        <v>0</v>
      </c>
      <c r="L20" s="1017">
        <f t="shared" si="3"/>
        <v>0</v>
      </c>
      <c r="M20" s="1017">
        <f>SUM(M17:M19)</f>
        <v>0</v>
      </c>
      <c r="N20" s="1017">
        <f>SUM(N17:N19)</f>
        <v>0</v>
      </c>
      <c r="O20" s="1017">
        <f>SUM(O17:O19)</f>
        <v>0</v>
      </c>
      <c r="P20" s="1017">
        <f>SUM(P17:P19)</f>
        <v>106.94117647058827</v>
      </c>
    </row>
    <row r="21" spans="1:16">
      <c r="B21" s="882"/>
    </row>
    <row r="22" spans="1:16">
      <c r="A22" s="461" t="s">
        <v>762</v>
      </c>
      <c r="B22" s="777" t="s">
        <v>760</v>
      </c>
      <c r="C22" s="777">
        <f ca="1">'EF ele_warmte'!B22</f>
        <v>1.5151921047132767E-3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1.3356671036339259E-3</v>
      </c>
      <c r="C17" s="497">
        <f ca="1">'EF ele_warmte'!B22</f>
        <v>1.5151921047132767E-3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1.3356671036339259E-3</v>
      </c>
      <c r="C17" s="497">
        <f ca="1">'EF ele_warmte'!B22</f>
        <v>1.5151921047132767E-3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1.3356671036339259E-3</v>
      </c>
      <c r="C29" s="498">
        <f ca="1">'EF ele_warmte'!B22</f>
        <v>1.5151921047132767E-3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2762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2506.96</v>
      </c>
      <c r="C14" s="326"/>
      <c r="D14" s="326"/>
      <c r="E14" s="326"/>
      <c r="F14" s="326"/>
    </row>
    <row r="15" spans="1:6">
      <c r="A15" s="1307" t="s">
        <v>183</v>
      </c>
      <c r="B15" s="1308">
        <v>24</v>
      </c>
      <c r="C15" s="326"/>
      <c r="D15" s="326"/>
      <c r="E15" s="326"/>
      <c r="F15" s="326"/>
    </row>
    <row r="16" spans="1:6">
      <c r="A16" s="1307" t="s">
        <v>6</v>
      </c>
      <c r="B16" s="1308">
        <v>630</v>
      </c>
      <c r="C16" s="326"/>
      <c r="D16" s="326"/>
      <c r="E16" s="326"/>
      <c r="F16" s="326"/>
    </row>
    <row r="17" spans="1:6">
      <c r="A17" s="1307" t="s">
        <v>7</v>
      </c>
      <c r="B17" s="1308">
        <v>904</v>
      </c>
      <c r="C17" s="326"/>
      <c r="D17" s="326"/>
      <c r="E17" s="326"/>
      <c r="F17" s="326"/>
    </row>
    <row r="18" spans="1:6">
      <c r="A18" s="1307" t="s">
        <v>8</v>
      </c>
      <c r="B18" s="1308">
        <v>971</v>
      </c>
      <c r="C18" s="326"/>
      <c r="D18" s="326"/>
      <c r="E18" s="326"/>
      <c r="F18" s="326"/>
    </row>
    <row r="19" spans="1:6">
      <c r="A19" s="1307" t="s">
        <v>9</v>
      </c>
      <c r="B19" s="1308">
        <v>950</v>
      </c>
      <c r="C19" s="326"/>
      <c r="D19" s="326"/>
      <c r="E19" s="326"/>
      <c r="F19" s="326"/>
    </row>
    <row r="20" spans="1:6">
      <c r="A20" s="1307" t="s">
        <v>10</v>
      </c>
      <c r="B20" s="1308">
        <v>563</v>
      </c>
      <c r="C20" s="326"/>
      <c r="D20" s="326"/>
      <c r="E20" s="326"/>
      <c r="F20" s="326"/>
    </row>
    <row r="21" spans="1:6">
      <c r="A21" s="1307" t="s">
        <v>11</v>
      </c>
      <c r="B21" s="1308">
        <v>42962</v>
      </c>
      <c r="C21" s="326"/>
      <c r="D21" s="326"/>
      <c r="E21" s="326"/>
      <c r="F21" s="326"/>
    </row>
    <row r="22" spans="1:6">
      <c r="A22" s="1307" t="s">
        <v>12</v>
      </c>
      <c r="B22" s="1308">
        <v>65216</v>
      </c>
      <c r="C22" s="326"/>
      <c r="D22" s="326"/>
      <c r="E22" s="326"/>
      <c r="F22" s="326"/>
    </row>
    <row r="23" spans="1:6">
      <c r="A23" s="1307" t="s">
        <v>13</v>
      </c>
      <c r="B23" s="1308">
        <v>2063</v>
      </c>
      <c r="C23" s="326"/>
      <c r="D23" s="326"/>
      <c r="E23" s="326"/>
      <c r="F23" s="326"/>
    </row>
    <row r="24" spans="1:6">
      <c r="A24" s="1307" t="s">
        <v>14</v>
      </c>
      <c r="B24" s="1308">
        <v>71</v>
      </c>
      <c r="C24" s="326"/>
      <c r="D24" s="326"/>
      <c r="E24" s="326"/>
      <c r="F24" s="326"/>
    </row>
    <row r="25" spans="1:6">
      <c r="A25" s="1307" t="s">
        <v>15</v>
      </c>
      <c r="B25" s="1308">
        <v>10265</v>
      </c>
      <c r="C25" s="326"/>
      <c r="D25" s="326"/>
      <c r="E25" s="326"/>
      <c r="F25" s="326"/>
    </row>
    <row r="26" spans="1:6">
      <c r="A26" s="1307" t="s">
        <v>16</v>
      </c>
      <c r="B26" s="1308">
        <v>190</v>
      </c>
      <c r="C26" s="326"/>
      <c r="D26" s="326"/>
      <c r="E26" s="326"/>
      <c r="F26" s="326"/>
    </row>
    <row r="27" spans="1:6">
      <c r="A27" s="1307" t="s">
        <v>17</v>
      </c>
      <c r="B27" s="1308">
        <v>0</v>
      </c>
      <c r="C27" s="326"/>
      <c r="D27" s="326"/>
      <c r="E27" s="326"/>
      <c r="F27" s="326"/>
    </row>
    <row r="28" spans="1:6" s="43" customFormat="1">
      <c r="A28" s="1309" t="s">
        <v>18</v>
      </c>
      <c r="B28" s="1310">
        <v>193637</v>
      </c>
      <c r="C28" s="332"/>
      <c r="D28" s="332"/>
      <c r="E28" s="332"/>
      <c r="F28" s="332"/>
    </row>
    <row r="29" spans="1:6">
      <c r="A29" s="1309" t="s">
        <v>688</v>
      </c>
      <c r="B29" s="1310">
        <v>92</v>
      </c>
      <c r="C29" s="332"/>
      <c r="D29" s="332"/>
      <c r="E29" s="332"/>
      <c r="F29" s="332"/>
    </row>
    <row r="30" spans="1:6">
      <c r="A30" s="1302" t="s">
        <v>689</v>
      </c>
      <c r="B30" s="1311">
        <v>10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6</v>
      </c>
      <c r="F36" s="1308">
        <v>32327.5329417131</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2883.7635696205998</v>
      </c>
    </row>
    <row r="39" spans="1:6">
      <c r="A39" s="1307" t="s">
        <v>29</v>
      </c>
      <c r="B39" s="1307" t="s">
        <v>30</v>
      </c>
      <c r="C39" s="1308">
        <v>1632</v>
      </c>
      <c r="D39" s="1308">
        <v>23804185.4745338</v>
      </c>
      <c r="E39" s="1308">
        <v>2461</v>
      </c>
      <c r="F39" s="1308">
        <v>8949611.4640355594</v>
      </c>
    </row>
    <row r="40" spans="1:6">
      <c r="A40" s="1307" t="s">
        <v>29</v>
      </c>
      <c r="B40" s="1307" t="s">
        <v>28</v>
      </c>
      <c r="C40" s="1308">
        <v>0</v>
      </c>
      <c r="D40" s="1308">
        <v>0</v>
      </c>
      <c r="E40" s="1308">
        <v>0</v>
      </c>
      <c r="F40" s="1308">
        <v>0</v>
      </c>
    </row>
    <row r="41" spans="1:6">
      <c r="A41" s="1307" t="s">
        <v>31</v>
      </c>
      <c r="B41" s="1307" t="s">
        <v>32</v>
      </c>
      <c r="C41" s="1308">
        <v>40</v>
      </c>
      <c r="D41" s="1308">
        <v>959983.867052263</v>
      </c>
      <c r="E41" s="1308">
        <v>102</v>
      </c>
      <c r="F41" s="1308">
        <v>1578616.5879013699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14</v>
      </c>
      <c r="D44" s="1308">
        <v>982928.05163064902</v>
      </c>
      <c r="E44" s="1308">
        <v>37</v>
      </c>
      <c r="F44" s="1308">
        <v>2615481.7044110899</v>
      </c>
    </row>
    <row r="45" spans="1:6">
      <c r="A45" s="1307" t="s">
        <v>31</v>
      </c>
      <c r="B45" s="1307" t="s">
        <v>36</v>
      </c>
      <c r="C45" s="1308">
        <v>0</v>
      </c>
      <c r="D45" s="1308">
        <v>0</v>
      </c>
      <c r="E45" s="1308">
        <v>4</v>
      </c>
      <c r="F45" s="1308">
        <v>502248.47439034702</v>
      </c>
    </row>
    <row r="46" spans="1:6">
      <c r="A46" s="1307" t="s">
        <v>31</v>
      </c>
      <c r="B46" s="1307" t="s">
        <v>37</v>
      </c>
      <c r="C46" s="1308">
        <v>0</v>
      </c>
      <c r="D46" s="1308">
        <v>0</v>
      </c>
      <c r="E46" s="1308">
        <v>0</v>
      </c>
      <c r="F46" s="1308">
        <v>0</v>
      </c>
    </row>
    <row r="47" spans="1:6">
      <c r="A47" s="1307" t="s">
        <v>31</v>
      </c>
      <c r="B47" s="1307" t="s">
        <v>38</v>
      </c>
      <c r="C47" s="1308">
        <v>0</v>
      </c>
      <c r="D47" s="1308">
        <v>0</v>
      </c>
      <c r="E47" s="1308">
        <v>4</v>
      </c>
      <c r="F47" s="1308">
        <v>84043.854985703802</v>
      </c>
    </row>
    <row r="48" spans="1:6">
      <c r="A48" s="1307" t="s">
        <v>31</v>
      </c>
      <c r="B48" s="1307" t="s">
        <v>28</v>
      </c>
      <c r="C48" s="1308">
        <v>7</v>
      </c>
      <c r="D48" s="1308">
        <v>238427.012216212</v>
      </c>
      <c r="E48" s="1308">
        <v>1</v>
      </c>
      <c r="F48" s="1308">
        <v>5517</v>
      </c>
    </row>
    <row r="49" spans="1:6">
      <c r="A49" s="1307" t="s">
        <v>31</v>
      </c>
      <c r="B49" s="1307" t="s">
        <v>39</v>
      </c>
      <c r="C49" s="1308">
        <v>0</v>
      </c>
      <c r="D49" s="1308">
        <v>0</v>
      </c>
      <c r="E49" s="1308">
        <v>3</v>
      </c>
      <c r="F49" s="1308">
        <v>1205713.9048331999</v>
      </c>
    </row>
    <row r="50" spans="1:6">
      <c r="A50" s="1307" t="s">
        <v>31</v>
      </c>
      <c r="B50" s="1307" t="s">
        <v>40</v>
      </c>
      <c r="C50" s="1308">
        <v>8</v>
      </c>
      <c r="D50" s="1308">
        <v>835568.26532134996</v>
      </c>
      <c r="E50" s="1308">
        <v>10</v>
      </c>
      <c r="F50" s="1308">
        <v>796907.95809126704</v>
      </c>
    </row>
    <row r="51" spans="1:6">
      <c r="A51" s="1307" t="s">
        <v>41</v>
      </c>
      <c r="B51" s="1307" t="s">
        <v>42</v>
      </c>
      <c r="C51" s="1308">
        <v>24</v>
      </c>
      <c r="D51" s="1308">
        <v>5073279.4002892198</v>
      </c>
      <c r="E51" s="1308">
        <v>207</v>
      </c>
      <c r="F51" s="1308">
        <v>8667687.5270520505</v>
      </c>
    </row>
    <row r="52" spans="1:6">
      <c r="A52" s="1307" t="s">
        <v>41</v>
      </c>
      <c r="B52" s="1307" t="s">
        <v>28</v>
      </c>
      <c r="C52" s="1308">
        <v>0</v>
      </c>
      <c r="D52" s="1308">
        <v>0</v>
      </c>
      <c r="E52" s="1308">
        <v>0</v>
      </c>
      <c r="F52" s="1308">
        <v>0</v>
      </c>
    </row>
    <row r="53" spans="1:6">
      <c r="A53" s="1307" t="s">
        <v>43</v>
      </c>
      <c r="B53" s="1307" t="s">
        <v>44</v>
      </c>
      <c r="C53" s="1308">
        <v>32</v>
      </c>
      <c r="D53" s="1308">
        <v>572125.509134316</v>
      </c>
      <c r="E53" s="1308">
        <v>85</v>
      </c>
      <c r="F53" s="1308">
        <v>620890.88267424505</v>
      </c>
    </row>
    <row r="54" spans="1:6">
      <c r="A54" s="1307" t="s">
        <v>45</v>
      </c>
      <c r="B54" s="1307" t="s">
        <v>46</v>
      </c>
      <c r="C54" s="1308">
        <v>0</v>
      </c>
      <c r="D54" s="1308">
        <v>0</v>
      </c>
      <c r="E54" s="1308">
        <v>1</v>
      </c>
      <c r="F54" s="1308">
        <v>567741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25</v>
      </c>
      <c r="D57" s="1308">
        <v>1358606.12068082</v>
      </c>
      <c r="E57" s="1308">
        <v>69</v>
      </c>
      <c r="F57" s="1308">
        <v>1621863.4773214201</v>
      </c>
    </row>
    <row r="58" spans="1:6">
      <c r="A58" s="1307" t="s">
        <v>48</v>
      </c>
      <c r="B58" s="1307" t="s">
        <v>50</v>
      </c>
      <c r="C58" s="1308">
        <v>15</v>
      </c>
      <c r="D58" s="1308">
        <v>2784427.9959698399</v>
      </c>
      <c r="E58" s="1308">
        <v>23</v>
      </c>
      <c r="F58" s="1308">
        <v>1244571.6923839501</v>
      </c>
    </row>
    <row r="59" spans="1:6">
      <c r="A59" s="1307" t="s">
        <v>48</v>
      </c>
      <c r="B59" s="1307" t="s">
        <v>51</v>
      </c>
      <c r="C59" s="1308">
        <v>61</v>
      </c>
      <c r="D59" s="1308">
        <v>5796619.1597549198</v>
      </c>
      <c r="E59" s="1308">
        <v>132</v>
      </c>
      <c r="F59" s="1308">
        <v>6024653.6563346703</v>
      </c>
    </row>
    <row r="60" spans="1:6">
      <c r="A60" s="1307" t="s">
        <v>48</v>
      </c>
      <c r="B60" s="1307" t="s">
        <v>52</v>
      </c>
      <c r="C60" s="1308">
        <v>27</v>
      </c>
      <c r="D60" s="1308">
        <v>850719.57216519595</v>
      </c>
      <c r="E60" s="1308">
        <v>39</v>
      </c>
      <c r="F60" s="1308">
        <v>979745.472704935</v>
      </c>
    </row>
    <row r="61" spans="1:6">
      <c r="A61" s="1307" t="s">
        <v>48</v>
      </c>
      <c r="B61" s="1307" t="s">
        <v>53</v>
      </c>
      <c r="C61" s="1308">
        <v>50</v>
      </c>
      <c r="D61" s="1308">
        <v>2430409.5842331299</v>
      </c>
      <c r="E61" s="1308">
        <v>113</v>
      </c>
      <c r="F61" s="1308">
        <v>2850695.7510904502</v>
      </c>
    </row>
    <row r="62" spans="1:6">
      <c r="A62" s="1307" t="s">
        <v>48</v>
      </c>
      <c r="B62" s="1307" t="s">
        <v>54</v>
      </c>
      <c r="C62" s="1308">
        <v>5</v>
      </c>
      <c r="D62" s="1308">
        <v>668093.41962458601</v>
      </c>
      <c r="E62" s="1308">
        <v>8</v>
      </c>
      <c r="F62" s="1308">
        <v>82268.255553305295</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3</v>
      </c>
      <c r="D65" s="1308">
        <v>242209.512834163</v>
      </c>
      <c r="E65" s="1308">
        <v>0</v>
      </c>
      <c r="F65" s="1308">
        <v>0</v>
      </c>
    </row>
    <row r="66" spans="1:6">
      <c r="A66" s="1307" t="s">
        <v>55</v>
      </c>
      <c r="B66" s="1307" t="s">
        <v>57</v>
      </c>
      <c r="C66" s="1308">
        <v>0</v>
      </c>
      <c r="D66" s="1308">
        <v>0</v>
      </c>
      <c r="E66" s="1308">
        <v>8</v>
      </c>
      <c r="F66" s="1308">
        <v>262286.47702795803</v>
      </c>
    </row>
    <row r="67" spans="1:6">
      <c r="A67" s="1309" t="s">
        <v>55</v>
      </c>
      <c r="B67" s="1309" t="s">
        <v>58</v>
      </c>
      <c r="C67" s="1308">
        <v>0</v>
      </c>
      <c r="D67" s="1308">
        <v>0</v>
      </c>
      <c r="E67" s="1308">
        <v>0</v>
      </c>
      <c r="F67" s="1308">
        <v>0</v>
      </c>
    </row>
    <row r="68" spans="1:6">
      <c r="A68" s="1302" t="s">
        <v>55</v>
      </c>
      <c r="B68" s="1302" t="s">
        <v>59</v>
      </c>
      <c r="C68" s="1311">
        <v>0</v>
      </c>
      <c r="D68" s="1311">
        <v>0</v>
      </c>
      <c r="E68" s="1311">
        <v>17</v>
      </c>
      <c r="F68" s="1311">
        <v>395265.95972153603</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47304618</v>
      </c>
      <c r="E73" s="447"/>
      <c r="F73" s="326"/>
    </row>
    <row r="74" spans="1:6">
      <c r="A74" s="1307" t="s">
        <v>63</v>
      </c>
      <c r="B74" s="1307" t="s">
        <v>639</v>
      </c>
      <c r="C74" s="1321" t="s">
        <v>641</v>
      </c>
      <c r="D74" s="1322">
        <v>5404041.7260706117</v>
      </c>
      <c r="E74" s="447"/>
      <c r="F74" s="326"/>
    </row>
    <row r="75" spans="1:6">
      <c r="A75" s="1307" t="s">
        <v>64</v>
      </c>
      <c r="B75" s="1307" t="s">
        <v>638</v>
      </c>
      <c r="C75" s="1321" t="s">
        <v>642</v>
      </c>
      <c r="D75" s="1322">
        <v>9428841</v>
      </c>
      <c r="E75" s="447"/>
      <c r="F75" s="326"/>
    </row>
    <row r="76" spans="1:6">
      <c r="A76" s="1307" t="s">
        <v>64</v>
      </c>
      <c r="B76" s="1307" t="s">
        <v>639</v>
      </c>
      <c r="C76" s="1321" t="s">
        <v>643</v>
      </c>
      <c r="D76" s="1322">
        <v>1238192.7260706115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167906.54785877699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3159.0078235842393</v>
      </c>
      <c r="C91" s="326"/>
      <c r="D91" s="326"/>
      <c r="E91" s="326"/>
      <c r="F91" s="326"/>
    </row>
    <row r="92" spans="1:6">
      <c r="A92" s="1302" t="s">
        <v>68</v>
      </c>
      <c r="B92" s="1303">
        <v>3481.5109229617469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1016</v>
      </c>
      <c r="C97" s="326"/>
      <c r="D97" s="326"/>
      <c r="E97" s="326"/>
      <c r="F97" s="326"/>
    </row>
    <row r="98" spans="1:6">
      <c r="A98" s="1307" t="s">
        <v>71</v>
      </c>
      <c r="B98" s="1308">
        <v>1</v>
      </c>
      <c r="C98" s="326"/>
      <c r="D98" s="326"/>
      <c r="E98" s="326"/>
      <c r="F98" s="326"/>
    </row>
    <row r="99" spans="1:6">
      <c r="A99" s="1307" t="s">
        <v>72</v>
      </c>
      <c r="B99" s="1308">
        <v>73</v>
      </c>
      <c r="C99" s="326"/>
      <c r="D99" s="326"/>
      <c r="E99" s="326"/>
      <c r="F99" s="326"/>
    </row>
    <row r="100" spans="1:6">
      <c r="A100" s="1307" t="s">
        <v>73</v>
      </c>
      <c r="B100" s="1308">
        <v>183</v>
      </c>
      <c r="C100" s="326"/>
      <c r="D100" s="326"/>
      <c r="E100" s="326"/>
      <c r="F100" s="326"/>
    </row>
    <row r="101" spans="1:6">
      <c r="A101" s="1307" t="s">
        <v>74</v>
      </c>
      <c r="B101" s="1308">
        <v>65</v>
      </c>
      <c r="C101" s="326"/>
      <c r="D101" s="326"/>
      <c r="E101" s="326"/>
      <c r="F101" s="326"/>
    </row>
    <row r="102" spans="1:6">
      <c r="A102" s="1307" t="s">
        <v>75</v>
      </c>
      <c r="B102" s="1308">
        <v>48</v>
      </c>
      <c r="C102" s="326"/>
      <c r="D102" s="326"/>
      <c r="E102" s="326"/>
      <c r="F102" s="326"/>
    </row>
    <row r="103" spans="1:6">
      <c r="A103" s="1307" t="s">
        <v>76</v>
      </c>
      <c r="B103" s="1308">
        <v>98</v>
      </c>
      <c r="C103" s="326"/>
      <c r="D103" s="326"/>
      <c r="E103" s="326"/>
      <c r="F103" s="326"/>
    </row>
    <row r="104" spans="1:6">
      <c r="A104" s="1307" t="s">
        <v>77</v>
      </c>
      <c r="B104" s="1308">
        <v>920</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2</v>
      </c>
      <c r="C121" s="1308">
        <v>0</v>
      </c>
      <c r="D121" s="326"/>
      <c r="E121" s="326"/>
      <c r="F121" s="326"/>
    </row>
    <row r="122" spans="1:6">
      <c r="A122" s="1307" t="s">
        <v>86</v>
      </c>
      <c r="B122" s="1308">
        <v>0</v>
      </c>
      <c r="C122" s="1308">
        <v>0</v>
      </c>
      <c r="D122" s="326"/>
      <c r="E122" s="326"/>
      <c r="F122" s="326"/>
    </row>
    <row r="123" spans="1:6">
      <c r="A123" s="1307" t="s">
        <v>87</v>
      </c>
      <c r="B123" s="1308">
        <v>43</v>
      </c>
      <c r="C123" s="1308">
        <v>13</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65</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12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41648.539377159395</v>
      </c>
      <c r="C3" s="43" t="s">
        <v>169</v>
      </c>
      <c r="D3" s="43"/>
      <c r="E3" s="154"/>
      <c r="F3" s="43"/>
      <c r="G3" s="43"/>
      <c r="H3" s="43"/>
      <c r="I3" s="43"/>
      <c r="J3" s="43"/>
      <c r="K3" s="96"/>
    </row>
    <row r="4" spans="1:11">
      <c r="A4" s="354" t="s">
        <v>170</v>
      </c>
      <c r="B4" s="49">
        <f>IF(ISERROR('SEAP template'!B78+'SEAP template'!C78),0,'SEAP template'!B78+'SEAP template'!C78)</f>
        <v>56046.018746545989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74.858823529411794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1.3356671036339259E-3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106.94117647058827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70579.28571428571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1.5151921047132767E-3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567.74099999999999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567.74099999999999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1.3356671036339259E-3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0.75831297708422873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8949.611464035559</v>
      </c>
      <c r="C5" s="17">
        <f>IF(ISERROR('Eigen informatie GS &amp; warmtenet'!B59),0,'Eigen informatie GS &amp; warmtenet'!B59)</f>
        <v>0</v>
      </c>
      <c r="D5" s="30">
        <f>(SUM(HH_hh_gas_kWh,HH_rest_gas_kWh)/1000)*0.903</f>
        <v>21495.17948350402</v>
      </c>
      <c r="E5" s="17">
        <f>B32*B41</f>
        <v>717.65047632047742</v>
      </c>
      <c r="F5" s="17">
        <f>B36*B45</f>
        <v>16300.627235680378</v>
      </c>
      <c r="G5" s="18"/>
      <c r="H5" s="17"/>
      <c r="I5" s="17"/>
      <c r="J5" s="17">
        <f>B35*B44+C35*C44</f>
        <v>81.549287828529941</v>
      </c>
      <c r="K5" s="17"/>
      <c r="L5" s="17"/>
      <c r="M5" s="17"/>
      <c r="N5" s="17">
        <f>B34*B43+C34*C43</f>
        <v>3800.2239937735676</v>
      </c>
      <c r="O5" s="17">
        <f>B52*B53*B54</f>
        <v>154.7487411121885</v>
      </c>
      <c r="P5" s="17">
        <f>B60*B61*B62/1000-B60*B61*B62/1000/B63</f>
        <v>589.90172123036132</v>
      </c>
    </row>
    <row r="6" spans="1:16">
      <c r="A6" s="16" t="s">
        <v>604</v>
      </c>
      <c r="B6" s="779">
        <f>kWh_PV_kleiner_dan_10kW</f>
        <v>3159.0078235842393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12108.619287619798</v>
      </c>
      <c r="C8" s="21">
        <f>C5</f>
        <v>0</v>
      </c>
      <c r="D8" s="21">
        <f>D5</f>
        <v>21495.17948350402</v>
      </c>
      <c r="E8" s="21">
        <f>E5</f>
        <v>717.65047632047742</v>
      </c>
      <c r="F8" s="21">
        <f>F5</f>
        <v>16300.627235680378</v>
      </c>
      <c r="G8" s="21"/>
      <c r="H8" s="21"/>
      <c r="I8" s="21"/>
      <c r="J8" s="21">
        <f>J5</f>
        <v>81.549287828529941</v>
      </c>
      <c r="K8" s="21"/>
      <c r="L8" s="21">
        <f>L5</f>
        <v>0</v>
      </c>
      <c r="M8" s="21">
        <f>M5</f>
        <v>0</v>
      </c>
      <c r="N8" s="21">
        <f>N5</f>
        <v>3800.2239937735676</v>
      </c>
      <c r="O8" s="21">
        <f>O5</f>
        <v>154.7487411121885</v>
      </c>
      <c r="P8" s="21">
        <f>P5</f>
        <v>589.90172123036132</v>
      </c>
    </row>
    <row r="9" spans="1:16">
      <c r="B9" s="19"/>
      <c r="C9" s="19"/>
      <c r="D9" s="254"/>
      <c r="E9" s="19"/>
      <c r="F9" s="19"/>
      <c r="G9" s="19"/>
      <c r="H9" s="19"/>
      <c r="I9" s="19"/>
      <c r="J9" s="19"/>
      <c r="K9" s="19"/>
      <c r="L9" s="19"/>
      <c r="M9" s="19"/>
      <c r="N9" s="19"/>
      <c r="O9" s="19"/>
      <c r="P9" s="19"/>
    </row>
    <row r="10" spans="1:16">
      <c r="A10" s="24" t="s">
        <v>213</v>
      </c>
      <c r="B10" s="25">
        <f ca="1">'EF ele_warmte'!B12</f>
        <v>1.3356671036339259E-3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16.173084452901026</v>
      </c>
      <c r="C12" s="23">
        <f ca="1">C10*C8</f>
        <v>0</v>
      </c>
      <c r="D12" s="23">
        <f>D8*D10</f>
        <v>4342.0262556678126</v>
      </c>
      <c r="E12" s="23">
        <f>E10*E8</f>
        <v>162.90665812474839</v>
      </c>
      <c r="F12" s="23">
        <f>F10*F8</f>
        <v>4352.2674719266615</v>
      </c>
      <c r="G12" s="23"/>
      <c r="H12" s="23"/>
      <c r="I12" s="23"/>
      <c r="J12" s="23">
        <f>J10*J8</f>
        <v>28.868447891299599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2762</v>
      </c>
      <c r="C26" s="36"/>
      <c r="D26" s="225"/>
    </row>
    <row r="27" spans="1:5" s="15" customFormat="1">
      <c r="A27" s="227" t="s">
        <v>817</v>
      </c>
      <c r="B27" s="37">
        <f>SUM(HH_hh_gas_aantal,HH_rest_gas_aantal)</f>
        <v>1632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1550.4</v>
      </c>
      <c r="C31" s="34" t="s">
        <v>110</v>
      </c>
      <c r="D31" s="171"/>
    </row>
    <row r="32" spans="1:5">
      <c r="A32" s="168" t="s">
        <v>72</v>
      </c>
      <c r="B32" s="33">
        <f>IF((B21*($B$26-($B$27-0.05*$B$27)-$B$60))&lt;0,0,B21*($B$26-($B$27-0.05*$B$27)-$B$60))</f>
        <v>17.786254479422769</v>
      </c>
      <c r="C32" s="34" t="s">
        <v>110</v>
      </c>
      <c r="D32" s="171"/>
    </row>
    <row r="33" spans="1:6">
      <c r="A33" s="168" t="s">
        <v>73</v>
      </c>
      <c r="B33" s="33">
        <f>IF((B22*($B$26-($B$27-0.05*$B$27)-$B$60))&lt;0,0,B22*($B$26-($B$27-0.05*$B$27)-$B$60))</f>
        <v>288.81354668219194</v>
      </c>
      <c r="C33" s="34" t="s">
        <v>110</v>
      </c>
      <c r="D33" s="171"/>
    </row>
    <row r="34" spans="1:6">
      <c r="A34" s="168" t="s">
        <v>74</v>
      </c>
      <c r="B34" s="33">
        <f>IF((B24*($B$26-($B$27-0.05*$B$27)-$B$60))&lt;0,0,B24*($B$26-($B$27-0.05*$B$27)-$B$60))</f>
        <v>55.321705376873638</v>
      </c>
      <c r="C34" s="33">
        <f>B26*C24</f>
        <v>565.58551216381738</v>
      </c>
      <c r="D34" s="230"/>
    </row>
    <row r="35" spans="1:6">
      <c r="A35" s="168" t="s">
        <v>76</v>
      </c>
      <c r="B35" s="33">
        <f>IF((B19*($B$26-($B$27-0.05*$B$27)-$B$60))&lt;0,0,B19*($B$26-($B$27-0.05*$B$27)-$B$60))</f>
        <v>7.7316424186137542</v>
      </c>
      <c r="C35" s="33">
        <f>B35/2</f>
        <v>3.8658212093068771</v>
      </c>
      <c r="D35" s="230"/>
    </row>
    <row r="36" spans="1:6">
      <c r="A36" s="168" t="s">
        <v>77</v>
      </c>
      <c r="B36" s="33">
        <f>IF((B18*($B$26-($B$27-0.05*$B$27)-$B$60))&lt;0,0,B18*($B$26-($B$27-0.05*$B$27)-$B$60))</f>
        <v>785.94685104289749</v>
      </c>
      <c r="C36" s="34" t="s">
        <v>110</v>
      </c>
      <c r="D36" s="171"/>
    </row>
    <row r="37" spans="1:6">
      <c r="A37" s="168" t="s">
        <v>78</v>
      </c>
      <c r="B37" s="33">
        <f>B60</f>
        <v>56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78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12803.798305388729</v>
      </c>
      <c r="C5" s="17">
        <f>IF(ISERROR('Eigen informatie GS &amp; warmtenet'!B60),0,'Eigen informatie GS &amp; warmtenet'!B60)</f>
        <v>0</v>
      </c>
      <c r="D5" s="30">
        <f>SUM(D6:D12)</f>
        <v>12541.654894742929</v>
      </c>
      <c r="E5" s="17">
        <f>SUM(E6:E12)</f>
        <v>45.08498865809937</v>
      </c>
      <c r="F5" s="17">
        <f>SUM(F6:F12)</f>
        <v>2029.6401941723786</v>
      </c>
      <c r="G5" s="18"/>
      <c r="H5" s="17"/>
      <c r="I5" s="17"/>
      <c r="J5" s="17">
        <f>SUM(J6:J12)</f>
        <v>1.6017231940317088E-2</v>
      </c>
      <c r="K5" s="17"/>
      <c r="L5" s="17"/>
      <c r="M5" s="17"/>
      <c r="N5" s="17">
        <f>SUM(N6:N12)</f>
        <v>592.19405369337221</v>
      </c>
      <c r="O5" s="17">
        <f>B38*B39*B40</f>
        <v>0</v>
      </c>
      <c r="P5" s="17">
        <f>B46*B47*B48/1000-B46*B47*B48/1000/B49</f>
        <v>105.07827661299004</v>
      </c>
      <c r="R5" s="32"/>
    </row>
    <row r="6" spans="1:18">
      <c r="A6" s="32" t="s">
        <v>53</v>
      </c>
      <c r="B6" s="37">
        <f>B26</f>
        <v>2850.6957510904504</v>
      </c>
      <c r="C6" s="33"/>
      <c r="D6" s="37">
        <f>IF(ISERROR(TER_kantoor_gas_kWh/1000),0,TER_kantoor_gas_kWh/1000)*0.903</f>
        <v>2194.6598545625161</v>
      </c>
      <c r="E6" s="33">
        <f>$C$26*'E Balans VL '!I12/100/3.6*1000000</f>
        <v>0.68295894200927987</v>
      </c>
      <c r="F6" s="33">
        <f>$C$26*('E Balans VL '!L12+'E Balans VL '!N12)/100/3.6*1000000</f>
        <v>270.32812984430234</v>
      </c>
      <c r="G6" s="34"/>
      <c r="H6" s="33"/>
      <c r="I6" s="33"/>
      <c r="J6" s="33">
        <f>$C$26*('E Balans VL '!D12+'E Balans VL '!E12)/100/3.6*1000000</f>
        <v>0</v>
      </c>
      <c r="K6" s="33"/>
      <c r="L6" s="33"/>
      <c r="M6" s="33"/>
      <c r="N6" s="33">
        <f>$C$26*'E Balans VL '!Y12/100/3.6*1000000</f>
        <v>1.448005993034029</v>
      </c>
      <c r="O6" s="33"/>
      <c r="P6" s="33"/>
      <c r="R6" s="32"/>
    </row>
    <row r="7" spans="1:18">
      <c r="A7" s="32" t="s">
        <v>52</v>
      </c>
      <c r="B7" s="37">
        <f t="shared" ref="B7:B12" si="0">B27</f>
        <v>979.74547270493497</v>
      </c>
      <c r="C7" s="33"/>
      <c r="D7" s="37">
        <f>IF(ISERROR(TER_horeca_gas_kWh/1000),0,TER_horeca_gas_kWh/1000)*0.903</f>
        <v>768.19977366517196</v>
      </c>
      <c r="E7" s="33">
        <f>$C$27*'E Balans VL '!I9/100/3.6*1000000</f>
        <v>0</v>
      </c>
      <c r="F7" s="33">
        <f>$C$27*('E Balans VL '!L9+'E Balans VL '!N9)/100/3.6*1000000</f>
        <v>80.336825684606879</v>
      </c>
      <c r="G7" s="34"/>
      <c r="H7" s="33"/>
      <c r="I7" s="33"/>
      <c r="J7" s="33">
        <f>$C$27*('E Balans VL '!D9+'E Balans VL '!E9)/100/3.6*1000000</f>
        <v>0</v>
      </c>
      <c r="K7" s="33"/>
      <c r="L7" s="33"/>
      <c r="M7" s="33"/>
      <c r="N7" s="33">
        <f>$C$27*'E Balans VL '!Y9/100/3.6*1000000</f>
        <v>0.30033135067050126</v>
      </c>
      <c r="O7" s="33"/>
      <c r="P7" s="33"/>
      <c r="R7" s="32"/>
    </row>
    <row r="8" spans="1:18">
      <c r="A8" s="6" t="s">
        <v>51</v>
      </c>
      <c r="B8" s="37">
        <f t="shared" si="0"/>
        <v>6024.6536563346699</v>
      </c>
      <c r="C8" s="33"/>
      <c r="D8" s="37">
        <f>IF(ISERROR(TER_handel_gas_kWh/1000),0,TER_handel_gas_kWh/1000)*0.903</f>
        <v>5234.3471012586924</v>
      </c>
      <c r="E8" s="33">
        <f>$C$28*'E Balans VL '!I13/100/3.6*1000000</f>
        <v>21.173364808869948</v>
      </c>
      <c r="F8" s="33">
        <f>$C$28*('E Balans VL '!L13+'E Balans VL '!N13)/100/3.6*1000000</f>
        <v>551.24499028637865</v>
      </c>
      <c r="G8" s="34"/>
      <c r="H8" s="33"/>
      <c r="I8" s="33"/>
      <c r="J8" s="33">
        <f>$C$28*('E Balans VL '!D13+'E Balans VL '!E13)/100/3.6*1000000</f>
        <v>0</v>
      </c>
      <c r="K8" s="33"/>
      <c r="L8" s="33"/>
      <c r="M8" s="33"/>
      <c r="N8" s="33">
        <f>$C$28*'E Balans VL '!Y13/100/3.6*1000000</f>
        <v>2.1818701832776455</v>
      </c>
      <c r="O8" s="33"/>
      <c r="P8" s="33"/>
      <c r="R8" s="32"/>
    </row>
    <row r="9" spans="1:18">
      <c r="A9" s="32" t="s">
        <v>50</v>
      </c>
      <c r="B9" s="37">
        <f t="shared" si="0"/>
        <v>1244.5716923839502</v>
      </c>
      <c r="C9" s="33"/>
      <c r="D9" s="37">
        <f>IF(ISERROR(TER_gezond_gas_kWh/1000),0,TER_gezond_gas_kWh/1000)*0.903</f>
        <v>2514.3384803607655</v>
      </c>
      <c r="E9" s="33">
        <f>$C$29*'E Balans VL '!I10/100/3.6*1000000</f>
        <v>0</v>
      </c>
      <c r="F9" s="33">
        <f>$C$29*('E Balans VL '!L10+'E Balans VL '!N10)/100/3.6*1000000</f>
        <v>152.56163548065462</v>
      </c>
      <c r="G9" s="34"/>
      <c r="H9" s="33"/>
      <c r="I9" s="33"/>
      <c r="J9" s="33">
        <f>$C$29*('E Balans VL '!D10+'E Balans VL '!E10)/100/3.6*1000000</f>
        <v>0</v>
      </c>
      <c r="K9" s="33"/>
      <c r="L9" s="33"/>
      <c r="M9" s="33"/>
      <c r="N9" s="33">
        <f>$C$29*'E Balans VL '!Y10/100/3.6*1000000</f>
        <v>9.1778489455298846</v>
      </c>
      <c r="O9" s="33"/>
      <c r="P9" s="33"/>
      <c r="R9" s="32"/>
    </row>
    <row r="10" spans="1:18">
      <c r="A10" s="32" t="s">
        <v>49</v>
      </c>
      <c r="B10" s="37">
        <f t="shared" si="0"/>
        <v>1621.8634773214201</v>
      </c>
      <c r="C10" s="33"/>
      <c r="D10" s="37">
        <f>IF(ISERROR(TER_ander_gas_kWh/1000),0,TER_ander_gas_kWh/1000)*0.903</f>
        <v>1226.8213269747805</v>
      </c>
      <c r="E10" s="33">
        <f>$C$30*'E Balans VL '!I14/100/3.6*1000000</f>
        <v>23.228664907220143</v>
      </c>
      <c r="F10" s="33">
        <f>$C$30*('E Balans VL '!L14+'E Balans VL '!N14)/100/3.6*1000000</f>
        <v>965.55047411790815</v>
      </c>
      <c r="G10" s="34"/>
      <c r="H10" s="33"/>
      <c r="I10" s="33"/>
      <c r="J10" s="33">
        <f>$C$30*('E Balans VL '!D14+'E Balans VL '!E14)/100/3.6*1000000</f>
        <v>1.6017231940317088E-2</v>
      </c>
      <c r="K10" s="33"/>
      <c r="L10" s="33"/>
      <c r="M10" s="33"/>
      <c r="N10" s="33">
        <f>$C$30*'E Balans VL '!Y14/100/3.6*1000000</f>
        <v>578.85433926018595</v>
      </c>
      <c r="O10" s="33"/>
      <c r="P10" s="33"/>
      <c r="R10" s="32"/>
    </row>
    <row r="11" spans="1:18">
      <c r="A11" s="32" t="s">
        <v>54</v>
      </c>
      <c r="B11" s="37">
        <f t="shared" si="0"/>
        <v>82.268255553305295</v>
      </c>
      <c r="C11" s="33"/>
      <c r="D11" s="37">
        <f>IF(ISERROR(TER_onderwijs_gas_kWh/1000),0,TER_onderwijs_gas_kWh/1000)*0.903</f>
        <v>603.28835792100119</v>
      </c>
      <c r="E11" s="33">
        <f>$C$31*'E Balans VL '!I11/100/3.6*1000000</f>
        <v>0</v>
      </c>
      <c r="F11" s="33">
        <f>$C$31*('E Balans VL '!L11+'E Balans VL '!N11)/100/3.6*1000000</f>
        <v>9.6181387585278966</v>
      </c>
      <c r="G11" s="34"/>
      <c r="H11" s="33"/>
      <c r="I11" s="33"/>
      <c r="J11" s="33">
        <f>$C$31*('E Balans VL '!D11+'E Balans VL '!E11)/100/3.6*1000000</f>
        <v>0</v>
      </c>
      <c r="K11" s="33"/>
      <c r="L11" s="33"/>
      <c r="M11" s="33"/>
      <c r="N11" s="33">
        <f>$C$31*'E Balans VL '!Y11/100/3.6*1000000</f>
        <v>0.23165796067417824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12803.798305388729</v>
      </c>
      <c r="C16" s="21">
        <f t="shared" ca="1" si="1"/>
        <v>0</v>
      </c>
      <c r="D16" s="21">
        <f t="shared" ca="1" si="1"/>
        <v>12541.654894742929</v>
      </c>
      <c r="E16" s="21">
        <f t="shared" si="1"/>
        <v>45.08498865809937</v>
      </c>
      <c r="F16" s="21">
        <f t="shared" ca="1" si="1"/>
        <v>2029.6401941723786</v>
      </c>
      <c r="G16" s="21">
        <f t="shared" si="1"/>
        <v>0</v>
      </c>
      <c r="H16" s="21">
        <f t="shared" si="1"/>
        <v>0</v>
      </c>
      <c r="I16" s="21">
        <f t="shared" si="1"/>
        <v>0</v>
      </c>
      <c r="J16" s="21">
        <f t="shared" si="1"/>
        <v>1.6017231940317088E-2</v>
      </c>
      <c r="K16" s="21">
        <f t="shared" si="1"/>
        <v>0</v>
      </c>
      <c r="L16" s="21">
        <f t="shared" ca="1" si="1"/>
        <v>0</v>
      </c>
      <c r="M16" s="21">
        <f t="shared" si="1"/>
        <v>0</v>
      </c>
      <c r="N16" s="21">
        <f t="shared" ca="1" si="1"/>
        <v>592.19405369337221</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1.3356671036339259E-3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17.101612198071532</v>
      </c>
      <c r="C20" s="23">
        <f t="shared" ref="C20:P20" ca="1" si="2">C16*C18</f>
        <v>0</v>
      </c>
      <c r="D20" s="23">
        <f t="shared" ca="1" si="2"/>
        <v>2533.4142887380717</v>
      </c>
      <c r="E20" s="23">
        <f t="shared" si="2"/>
        <v>10.234292425388558</v>
      </c>
      <c r="F20" s="23">
        <f t="shared" ca="1" si="2"/>
        <v>541.91393184402511</v>
      </c>
      <c r="G20" s="23">
        <f t="shared" si="2"/>
        <v>0</v>
      </c>
      <c r="H20" s="23">
        <f t="shared" si="2"/>
        <v>0</v>
      </c>
      <c r="I20" s="23">
        <f t="shared" si="2"/>
        <v>0</v>
      </c>
      <c r="J20" s="23">
        <f t="shared" si="2"/>
        <v>5.6701001068722489E-3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2850.6957510904504</v>
      </c>
      <c r="C26" s="39">
        <f>IF(ISERROR(B26*3.6/1000000/'E Balans VL '!Z12*100),0,B26*3.6/1000000/'E Balans VL '!Z12*100)</f>
        <v>8.0397169205308067E-2</v>
      </c>
      <c r="D26" s="233" t="s">
        <v>691</v>
      </c>
      <c r="F26" s="6"/>
    </row>
    <row r="27" spans="1:18">
      <c r="A27" s="228" t="s">
        <v>52</v>
      </c>
      <c r="B27" s="33">
        <f>IF(ISERROR(TER_horeca_ele_kWh/1000),0,TER_horeca_ele_kWh/1000)</f>
        <v>979.74547270493497</v>
      </c>
      <c r="C27" s="39">
        <f>IF(ISERROR(B27*3.6/1000000/'E Balans VL '!Z9*100),0,B27*3.6/1000000/'E Balans VL '!Z9*100)</f>
        <v>7.2636090944170895E-2</v>
      </c>
      <c r="D27" s="233" t="s">
        <v>691</v>
      </c>
      <c r="F27" s="6"/>
    </row>
    <row r="28" spans="1:18">
      <c r="A28" s="168" t="s">
        <v>51</v>
      </c>
      <c r="B28" s="33">
        <f>IF(ISERROR(TER_handel_ele_kWh/1000),0,TER_handel_ele_kWh/1000)</f>
        <v>6024.6536563346699</v>
      </c>
      <c r="C28" s="39">
        <f>IF(ISERROR(B28*3.6/1000000/'E Balans VL '!Z13*100),0,B28*3.6/1000000/'E Balans VL '!Z13*100)</f>
        <v>0.18048429939491523</v>
      </c>
      <c r="D28" s="233" t="s">
        <v>691</v>
      </c>
      <c r="F28" s="6"/>
    </row>
    <row r="29" spans="1:18">
      <c r="A29" s="228" t="s">
        <v>50</v>
      </c>
      <c r="B29" s="33">
        <f>IF(ISERROR(TER_gezond_ele_kWh/1000),0,TER_gezond_ele_kWh/1000)</f>
        <v>1244.5716923839502</v>
      </c>
      <c r="C29" s="39">
        <f>IF(ISERROR(B29*3.6/1000000/'E Balans VL '!Z10*100),0,B29*3.6/1000000/'E Balans VL '!Z10*100)</f>
        <v>0.12306373675044996</v>
      </c>
      <c r="D29" s="233" t="s">
        <v>691</v>
      </c>
      <c r="F29" s="6"/>
    </row>
    <row r="30" spans="1:18">
      <c r="A30" s="228" t="s">
        <v>49</v>
      </c>
      <c r="B30" s="33">
        <f>IF(ISERROR(TER_ander_ele_kWh/1000),0,TER_ander_ele_kWh/1000)</f>
        <v>1621.8634773214201</v>
      </c>
      <c r="C30" s="39">
        <f>IF(ISERROR(B30*3.6/1000000/'E Balans VL '!Z14*100),0,B30*3.6/1000000/'E Balans VL '!Z14*100)</f>
        <v>6.5599584738500014E-2</v>
      </c>
      <c r="D30" s="233" t="s">
        <v>691</v>
      </c>
      <c r="F30" s="6"/>
    </row>
    <row r="31" spans="1:18">
      <c r="A31" s="228" t="s">
        <v>54</v>
      </c>
      <c r="B31" s="33">
        <f>IF(ISERROR(TER_onderwijs_ele_kWh/1000),0,TER_onderwijs_ele_kWh/1000)</f>
        <v>82.268255553305295</v>
      </c>
      <c r="C31" s="39">
        <f>IF(ISERROR(B31*3.6/1000000/'E Balans VL '!Z11*100),0,B31*3.6/1000000/'E Balans VL '!Z11*100)</f>
        <v>2.260268777270711E-2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6788.5294846129773</v>
      </c>
      <c r="C5" s="17">
        <f>IF(ISERROR('Eigen informatie GS &amp; warmtenet'!B61),0,'Eigen informatie GS &amp; warmtenet'!B61)</f>
        <v>0</v>
      </c>
      <c r="D5" s="30">
        <f>SUM(D6:D15)</f>
        <v>2724.2671981870885</v>
      </c>
      <c r="E5" s="17">
        <f>SUM(E6:E15)</f>
        <v>23.495631188779061</v>
      </c>
      <c r="F5" s="17">
        <f>SUM(F6:F15)</f>
        <v>1201.2301346594811</v>
      </c>
      <c r="G5" s="18"/>
      <c r="H5" s="17"/>
      <c r="I5" s="17"/>
      <c r="J5" s="17">
        <f>SUM(J6:J15)</f>
        <v>2.3324267266488778</v>
      </c>
      <c r="K5" s="17"/>
      <c r="L5" s="17"/>
      <c r="M5" s="17"/>
      <c r="N5" s="17">
        <f>SUM(N6:N15)</f>
        <v>270.6287808203391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2615.48170441109</v>
      </c>
      <c r="C8" s="33"/>
      <c r="D8" s="37">
        <f>IF( ISERROR(IND_metaal_Gas_kWH/1000),0,IND_metaal_Gas_kWH/1000)*0.903</f>
        <v>887.58403062247612</v>
      </c>
      <c r="E8" s="33">
        <f>C30*'E Balans VL '!I18/100/3.6*1000000</f>
        <v>13.187715101125166</v>
      </c>
      <c r="F8" s="33">
        <f>C30*'E Balans VL '!L18/100/3.6*1000000+C30*'E Balans VL '!N18/100/3.6*1000000</f>
        <v>178.69505465414125</v>
      </c>
      <c r="G8" s="34"/>
      <c r="H8" s="33"/>
      <c r="I8" s="33"/>
      <c r="J8" s="40">
        <f>C30*'E Balans VL '!D18/100/3.6*1000000+C30*'E Balans VL '!E18/100/3.6*1000000</f>
        <v>2.3188476344239435</v>
      </c>
      <c r="K8" s="33"/>
      <c r="L8" s="33"/>
      <c r="M8" s="33"/>
      <c r="N8" s="33">
        <f>C30*'E Balans VL '!Y18/100/3.6*1000000</f>
        <v>34.75976737327094</v>
      </c>
      <c r="O8" s="33"/>
      <c r="P8" s="33"/>
      <c r="R8" s="32"/>
    </row>
    <row r="9" spans="1:18">
      <c r="A9" s="6" t="s">
        <v>32</v>
      </c>
      <c r="B9" s="37">
        <f t="shared" si="0"/>
        <v>1578.6165879013699</v>
      </c>
      <c r="C9" s="33"/>
      <c r="D9" s="37">
        <f>IF( ISERROR(IND_andere_gas_kWh/1000),0,IND_andere_gas_kWh/1000)*0.903</f>
        <v>866.86543194819353</v>
      </c>
      <c r="E9" s="33">
        <f>C31*'E Balans VL '!I19/100/3.6*1000000</f>
        <v>4.9761725805276553</v>
      </c>
      <c r="F9" s="33">
        <f>C31*'E Balans VL '!L19/100/3.6*1000000+C31*'E Balans VL '!N19/100/3.6*1000000</f>
        <v>966.36268053372828</v>
      </c>
      <c r="G9" s="34"/>
      <c r="H9" s="33"/>
      <c r="I9" s="33"/>
      <c r="J9" s="40">
        <f>C31*'E Balans VL '!D19/100/3.6*1000000+C31*'E Balans VL '!E19/100/3.6*1000000</f>
        <v>0</v>
      </c>
      <c r="K9" s="33"/>
      <c r="L9" s="33"/>
      <c r="M9" s="33"/>
      <c r="N9" s="33">
        <f>C31*'E Balans VL '!Y19/100/3.6*1000000</f>
        <v>66.193537009243002</v>
      </c>
      <c r="O9" s="33"/>
      <c r="P9" s="33"/>
      <c r="R9" s="32"/>
    </row>
    <row r="10" spans="1:18">
      <c r="A10" s="6" t="s">
        <v>40</v>
      </c>
      <c r="B10" s="37">
        <f t="shared" si="0"/>
        <v>796.90795809126701</v>
      </c>
      <c r="C10" s="33"/>
      <c r="D10" s="37">
        <f>IF( ISERROR(IND_voed_gas_kWh/1000),0,IND_voed_gas_kWh/1000)*0.903</f>
        <v>754.51814358517902</v>
      </c>
      <c r="E10" s="33">
        <f>C32*'E Balans VL '!I20/100/3.6*1000000</f>
        <v>1.2700474790118632</v>
      </c>
      <c r="F10" s="33">
        <f>C32*'E Balans VL '!L20/100/3.6*1000000+C32*'E Balans VL '!N20/100/3.6*1000000</f>
        <v>12.94781841010964</v>
      </c>
      <c r="G10" s="34"/>
      <c r="H10" s="33"/>
      <c r="I10" s="33"/>
      <c r="J10" s="40">
        <f>C32*'E Balans VL '!D20/100/3.6*1000000+C32*'E Balans VL '!E20/100/3.6*1000000</f>
        <v>0</v>
      </c>
      <c r="K10" s="33"/>
      <c r="L10" s="33"/>
      <c r="M10" s="33"/>
      <c r="N10" s="33">
        <f>C32*'E Balans VL '!Y20/100/3.6*1000000</f>
        <v>25.170333371252024</v>
      </c>
      <c r="O10" s="33"/>
      <c r="P10" s="33"/>
      <c r="R10" s="32"/>
    </row>
    <row r="11" spans="1:18">
      <c r="A11" s="6" t="s">
        <v>39</v>
      </c>
      <c r="B11" s="37">
        <f t="shared" si="0"/>
        <v>1205.7139048331999</v>
      </c>
      <c r="C11" s="33"/>
      <c r="D11" s="37">
        <f>IF( ISERROR(IND_textiel_gas_kWh/1000),0,IND_textiel_gas_kWh/1000)*0.903</f>
        <v>0</v>
      </c>
      <c r="E11" s="33">
        <f>C33*'E Balans VL '!I21/100/3.6*1000000</f>
        <v>1.7492705574470004</v>
      </c>
      <c r="F11" s="33">
        <f>C33*'E Balans VL '!L21/100/3.6*1000000+C33*'E Balans VL '!N21/100/3.6*1000000</f>
        <v>23.596595809461661</v>
      </c>
      <c r="G11" s="34"/>
      <c r="H11" s="33"/>
      <c r="I11" s="33"/>
      <c r="J11" s="40">
        <f>C33*'E Balans VL '!D21/100/3.6*1000000+C33*'E Balans VL '!E21/100/3.6*1000000</f>
        <v>0</v>
      </c>
      <c r="K11" s="33"/>
      <c r="L11" s="33"/>
      <c r="M11" s="33"/>
      <c r="N11" s="33">
        <f>C33*'E Balans VL '!Y21/100/3.6*1000000</f>
        <v>58.739645023858003</v>
      </c>
      <c r="O11" s="33"/>
      <c r="P11" s="33"/>
      <c r="R11" s="32"/>
    </row>
    <row r="12" spans="1:18">
      <c r="A12" s="6" t="s">
        <v>36</v>
      </c>
      <c r="B12" s="37">
        <f t="shared" si="0"/>
        <v>502.24847439034704</v>
      </c>
      <c r="C12" s="33"/>
      <c r="D12" s="37">
        <f>IF( ISERROR(IND_min_gas_kWh/1000),0,IND_min_gas_kWh/1000)*0.903</f>
        <v>0</v>
      </c>
      <c r="E12" s="33">
        <f>C34*'E Balans VL '!I22/100/3.6*1000000</f>
        <v>2.1733651496620561</v>
      </c>
      <c r="F12" s="33">
        <f>C34*'E Balans VL '!L22/100/3.6*1000000+C34*'E Balans VL '!N22/100/3.6*1000000</f>
        <v>19.176466742479739</v>
      </c>
      <c r="G12" s="34"/>
      <c r="H12" s="33"/>
      <c r="I12" s="33"/>
      <c r="J12" s="40">
        <f>C34*'E Balans VL '!D22/100/3.6*1000000+C34*'E Balans VL '!E22/100/3.6*1000000</f>
        <v>0</v>
      </c>
      <c r="K12" s="33"/>
      <c r="L12" s="33"/>
      <c r="M12" s="33"/>
      <c r="N12" s="33">
        <f>C34*'E Balans VL '!Y22/100/3.6*1000000</f>
        <v>85.672275867896303</v>
      </c>
      <c r="O12" s="33"/>
      <c r="P12" s="33"/>
      <c r="R12" s="32"/>
    </row>
    <row r="13" spans="1:18">
      <c r="A13" s="6" t="s">
        <v>38</v>
      </c>
      <c r="B13" s="37">
        <f t="shared" si="0"/>
        <v>84.043854985703803</v>
      </c>
      <c r="C13" s="33"/>
      <c r="D13" s="37">
        <f>IF( ISERROR(IND_papier_gas_kWh/1000),0,IND_papier_gas_kWh/1000)*0.903</f>
        <v>0</v>
      </c>
      <c r="E13" s="33">
        <f>C35*'E Balans VL '!I23/100/3.6*1000000</f>
        <v>0</v>
      </c>
      <c r="F13" s="33">
        <f>C35*'E Balans VL '!L23/100/3.6*1000000+C35*'E Balans VL '!N23/100/3.6*1000000</f>
        <v>3.641170591809368E-3</v>
      </c>
      <c r="G13" s="34"/>
      <c r="H13" s="33"/>
      <c r="I13" s="33"/>
      <c r="J13" s="40">
        <f>C35*'E Balans VL '!D23/100/3.6*1000000+C35*'E Balans VL '!E23/100/3.6*1000000</f>
        <v>2.3158090320239259E-3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5.5170000000000003</v>
      </c>
      <c r="C15" s="33"/>
      <c r="D15" s="37">
        <f>IF( ISERROR(IND_rest_gas_kWh/1000),0,IND_rest_gas_kWh/1000)*0.903</f>
        <v>215.29959203123946</v>
      </c>
      <c r="E15" s="33">
        <f>C37*'E Balans VL '!I15/100/3.6*1000000</f>
        <v>0.13906032100531679</v>
      </c>
      <c r="F15" s="33">
        <f>C37*'E Balans VL '!L15/100/3.6*1000000+C37*'E Balans VL '!N15/100/3.6*1000000</f>
        <v>0.44787733896858689</v>
      </c>
      <c r="G15" s="34"/>
      <c r="H15" s="33"/>
      <c r="I15" s="33"/>
      <c r="J15" s="40">
        <f>C37*'E Balans VL '!D15/100/3.6*1000000+C37*'E Balans VL '!E15/100/3.6*1000000</f>
        <v>1.1263283192910352E-2</v>
      </c>
      <c r="K15" s="33"/>
      <c r="L15" s="33"/>
      <c r="M15" s="33"/>
      <c r="N15" s="33">
        <f>C37*'E Balans VL '!Y15/100/3.6*1000000</f>
        <v>9.3222174818833187E-2</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6788.5294846129773</v>
      </c>
      <c r="C18" s="21">
        <f>C5+C16</f>
        <v>0</v>
      </c>
      <c r="D18" s="21">
        <f>MAX((D5+D16),0)</f>
        <v>2724.2671981870885</v>
      </c>
      <c r="E18" s="21">
        <f>MAX((E5+E16),0)</f>
        <v>23.495631188779061</v>
      </c>
      <c r="F18" s="21">
        <f>MAX((F5+F16),0)</f>
        <v>1201.2301346594811</v>
      </c>
      <c r="G18" s="21"/>
      <c r="H18" s="21"/>
      <c r="I18" s="21"/>
      <c r="J18" s="21">
        <f>MAX((J5+J16),0)</f>
        <v>2.3324267266488778</v>
      </c>
      <c r="K18" s="21"/>
      <c r="L18" s="21">
        <f>MAX((L5+L16),0)</f>
        <v>0</v>
      </c>
      <c r="M18" s="21"/>
      <c r="N18" s="21">
        <f>MAX((N5+N16),0)</f>
        <v>270.6287808203391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1.3356671036339259E-3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9.0672155146465236</v>
      </c>
      <c r="C22" s="23">
        <f ca="1">C18*C20</f>
        <v>0</v>
      </c>
      <c r="D22" s="23">
        <f>D18*D20</f>
        <v>550.30197403379191</v>
      </c>
      <c r="E22" s="23">
        <f>E18*E20</f>
        <v>5.3335082798528468</v>
      </c>
      <c r="F22" s="23">
        <f>F18*F20</f>
        <v>320.72844595408145</v>
      </c>
      <c r="G22" s="23"/>
      <c r="H22" s="23"/>
      <c r="I22" s="23"/>
      <c r="J22" s="23">
        <f>J18*J20</f>
        <v>0.82567906123370272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2615.48170441109</v>
      </c>
      <c r="C30" s="39">
        <f>IF(ISERROR(B30*3.6/1000000/'E Balans VL '!Z18*100),0,B30*3.6/1000000/'E Balans VL '!Z18*100)</f>
        <v>0.12982661716836968</v>
      </c>
      <c r="D30" s="233" t="s">
        <v>691</v>
      </c>
    </row>
    <row r="31" spans="1:18">
      <c r="A31" s="6" t="s">
        <v>32</v>
      </c>
      <c r="B31" s="37">
        <f>IF( ISERROR(IND_ander_ele_kWh/1000),0,IND_ander_ele_kWh/1000)</f>
        <v>1578.6165879013699</v>
      </c>
      <c r="C31" s="39">
        <f>IF(ISERROR(B31*3.6/1000000/'E Balans VL '!Z19*100),0,B31*3.6/1000000/'E Balans VL '!Z19*100)</f>
        <v>5.3270220509747258E-2</v>
      </c>
      <c r="D31" s="233" t="s">
        <v>691</v>
      </c>
    </row>
    <row r="32" spans="1:18">
      <c r="A32" s="168" t="s">
        <v>40</v>
      </c>
      <c r="B32" s="37">
        <f>IF( ISERROR(IND_voed_ele_kWh/1000),0,IND_voed_ele_kWh/1000)</f>
        <v>796.90795809126701</v>
      </c>
      <c r="C32" s="39">
        <f>IF(ISERROR(B32*3.6/1000000/'E Balans VL '!Z20*100),0,B32*3.6/1000000/'E Balans VL '!Z20*100)</f>
        <v>1.8714835983986895E-2</v>
      </c>
      <c r="D32" s="233" t="s">
        <v>691</v>
      </c>
    </row>
    <row r="33" spans="1:5">
      <c r="A33" s="168" t="s">
        <v>39</v>
      </c>
      <c r="B33" s="37">
        <f>IF( ISERROR(IND_textiel_ele_kWh/1000),0,IND_textiel_ele_kWh/1000)</f>
        <v>1205.7139048331999</v>
      </c>
      <c r="C33" s="39">
        <f>IF(ISERROR(B33*3.6/1000000/'E Balans VL '!Z21*100),0,B33*3.6/1000000/'E Balans VL '!Z21*100)</f>
        <v>0.13232557274236609</v>
      </c>
      <c r="D33" s="233" t="s">
        <v>691</v>
      </c>
    </row>
    <row r="34" spans="1:5">
      <c r="A34" s="168" t="s">
        <v>36</v>
      </c>
      <c r="B34" s="37">
        <f>IF( ISERROR(IND_min_ele_kWh/1000),0,IND_min_ele_kWh/1000)</f>
        <v>502.24847439034704</v>
      </c>
      <c r="C34" s="39">
        <f>IF(ISERROR(B34*3.6/1000000/'E Balans VL '!Z22*100),0,B34*3.6/1000000/'E Balans VL '!Z22*100)</f>
        <v>7.1254372041820266E-2</v>
      </c>
      <c r="D34" s="233" t="s">
        <v>691</v>
      </c>
    </row>
    <row r="35" spans="1:5">
      <c r="A35" s="168" t="s">
        <v>38</v>
      </c>
      <c r="B35" s="37">
        <f>IF( ISERROR(IND_papier_ele_kWh/1000),0,IND_papier_ele_kWh/1000)</f>
        <v>84.043854985703803</v>
      </c>
      <c r="C35" s="39">
        <f>IF(ISERROR(B35*3.6/1000000/'E Balans VL '!Z22*100),0,B35*3.6/1000000/'E Balans VL '!Z22*100)</f>
        <v>1.1923365458201232E-2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5.5170000000000003</v>
      </c>
      <c r="C37" s="39">
        <f>IF(ISERROR(B37*3.6/1000000/'E Balans VL '!Z15*100),0,B37*3.6/1000000/'E Balans VL '!Z15*100)</f>
        <v>2.0675118611236658E-5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8667.6875270520504</v>
      </c>
      <c r="C5" s="17">
        <f>'Eigen informatie GS &amp; warmtenet'!B62</f>
        <v>0</v>
      </c>
      <c r="D5" s="30">
        <f>IF(ISERROR(SUM(LB_lb_gas_kWh,LB_rest_gas_kWh)/1000),0,SUM(LB_lb_gas_kWh,LB_rest_gas_kWh)/1000)*0.903</f>
        <v>4581.1712984611659</v>
      </c>
      <c r="E5" s="17">
        <f>B17*'E Balans VL '!I25/3.6*1000000/100</f>
        <v>323.24458044862172</v>
      </c>
      <c r="F5" s="17">
        <f>B17*('E Balans VL '!L25/3.6*1000000+'E Balans VL '!N25/3.6*1000000)/100</f>
        <v>28121.32766405704</v>
      </c>
      <c r="G5" s="18"/>
      <c r="H5" s="17"/>
      <c r="I5" s="17"/>
      <c r="J5" s="17">
        <f>('E Balans VL '!D25+'E Balans VL '!E25)/3.6*1000000*landbouw!B17/100</f>
        <v>2275.3107674195471</v>
      </c>
      <c r="K5" s="17"/>
      <c r="L5" s="17">
        <f>L6*(-1)</f>
        <v>0</v>
      </c>
      <c r="M5" s="17"/>
      <c r="N5" s="17">
        <f>N6*(-1)</f>
        <v>140258.57142857142</v>
      </c>
      <c r="O5" s="17"/>
      <c r="P5" s="17"/>
      <c r="R5" s="32"/>
    </row>
    <row r="6" spans="1:18">
      <c r="A6" s="16" t="s">
        <v>473</v>
      </c>
      <c r="B6" s="17" t="s">
        <v>210</v>
      </c>
      <c r="C6" s="17">
        <f>'lokale energieproductie'!O41+'lokale energieproductie'!O34</f>
        <v>70579.28571428571</v>
      </c>
      <c r="D6" s="304">
        <f>('lokale energieproductie'!P34+'lokale energieproductie'!P41)*(-1)</f>
        <v>-900.00000000000023</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-140258.57142857142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8667.6875270520504</v>
      </c>
      <c r="C8" s="21">
        <f>C5+C6</f>
        <v>70579.28571428571</v>
      </c>
      <c r="D8" s="21">
        <f>MAX((D5+D6),0)</f>
        <v>3681.1712984611659</v>
      </c>
      <c r="E8" s="21">
        <f>MAX((E5+E6),0)</f>
        <v>323.24458044862172</v>
      </c>
      <c r="F8" s="21">
        <f>MAX((F5+F6),0)</f>
        <v>28121.32766405704</v>
      </c>
      <c r="G8" s="21"/>
      <c r="H8" s="21"/>
      <c r="I8" s="21"/>
      <c r="J8" s="21">
        <f>MAX((J5+J6),0)</f>
        <v>2275.3107674195471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1.3356671036339259E-3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11.577145094461518</v>
      </c>
      <c r="C12" s="23">
        <f ca="1">C8*C10</f>
        <v>106.94117647058827</v>
      </c>
      <c r="D12" s="23">
        <f>D8*D10</f>
        <v>743.5966022891555</v>
      </c>
      <c r="E12" s="23">
        <f>E8*E10</f>
        <v>73.37651976183713</v>
      </c>
      <c r="F12" s="23">
        <f>F8*F10</f>
        <v>7508.3944863032302</v>
      </c>
      <c r="G12" s="23"/>
      <c r="H12" s="23"/>
      <c r="I12" s="23"/>
      <c r="J12" s="23">
        <f>J8*J10</f>
        <v>805.46001166651968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1.1904842633509096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429.53067678475321</v>
      </c>
      <c r="C26" s="243">
        <f>B26*'GWP N2O_CH4'!B5</f>
        <v>9020.1442124798177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558.7660006889264</v>
      </c>
      <c r="C27" s="243">
        <f>B27*'GWP N2O_CH4'!B5</f>
        <v>11734.086014467455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7.5474225465703642</v>
      </c>
      <c r="C28" s="243">
        <f>B28*'GWP N2O_CH4'!B4</f>
        <v>2339.700989436813</v>
      </c>
      <c r="D28" s="50"/>
    </row>
    <row r="29" spans="1:4">
      <c r="A29" s="41" t="s">
        <v>272</v>
      </c>
      <c r="B29" s="243">
        <f>B34*'ha_N2O bodem landbouw'!B4</f>
        <v>16.274406791232057</v>
      </c>
      <c r="C29" s="243">
        <f>B29*'GWP N2O_CH4'!B4</f>
        <v>5045.0661052819378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3.7089837843659774E-3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2.9998488831397722E-4</v>
      </c>
      <c r="C5" s="434" t="s">
        <v>210</v>
      </c>
      <c r="D5" s="419">
        <f>SUM(D6:D11)</f>
        <v>5.4936885707847303E-4</v>
      </c>
      <c r="E5" s="419">
        <f>SUM(E6:E11)</f>
        <v>3.0222095818489337E-4</v>
      </c>
      <c r="F5" s="432" t="s">
        <v>210</v>
      </c>
      <c r="G5" s="419">
        <f>SUM(G6:G11)</f>
        <v>0.15609537991970318</v>
      </c>
      <c r="H5" s="419">
        <f>SUM(H6:H11)</f>
        <v>3.3367910057921807E-2</v>
      </c>
      <c r="I5" s="434" t="s">
        <v>210</v>
      </c>
      <c r="J5" s="434" t="s">
        <v>210</v>
      </c>
      <c r="K5" s="434" t="s">
        <v>210</v>
      </c>
      <c r="L5" s="434" t="s">
        <v>210</v>
      </c>
      <c r="M5" s="419">
        <f>SUM(M6:M11)</f>
        <v>1.1107994429688057E-2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2.3610905070538059E-4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4.1028329306303429E-4</v>
      </c>
      <c r="E6" s="885">
        <f>vkm_GW_PW*SUMIFS(TableVerdeelsleutelVkm[LPG],TableVerdeelsleutelVkm[Voertuigtype],"Lichte voertuigen")*SUMIFS(TableECFTransport[EnergieConsumptieFactor (PJ per km)],TableECFTransport[Index],CONCATENATE($A6,"_LPG_LPG"))</f>
        <v>2.2814427498681259E-4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6.8559523816309309E-2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2.4997031579970262E-2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5.5977199559369382E-3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1.2509383232193607E-6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5.1773207104671627E-2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5.2669746740082477E-7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2.9149113789096468E-3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6.233827997133664E-5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1.3908556401543874E-4</v>
      </c>
      <c r="E8" s="422">
        <f>vkm_NGW_PW*SUMIFS(TableVerdeelsleutelVkm[LPG],TableVerdeelsleutelVkm[Voertuigtype],"Lichte voertuigen")*SUMIFS(TableECFTransport[EnergieConsumptieFactor (PJ per km)],TableECFTransport[Index],CONCATENATE($A8,"_LPG_LPG"))</f>
        <v>7.4076683198080778E-5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2.0486568885788436E-2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8.3702061181613815E-3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1.7352969106779917E-3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2.8661931404060761E-7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1.5276080112933818E-2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1.4566232275673402E-7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8.6006618416348062E-4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83.329135642771448</v>
      </c>
      <c r="C14" s="21"/>
      <c r="D14" s="21">
        <f t="shared" ref="D14:M14" si="0">((D5)*10^9/3600)+D12</f>
        <v>152.60246029957585</v>
      </c>
      <c r="E14" s="21">
        <f t="shared" si="0"/>
        <v>83.950266162470371</v>
      </c>
      <c r="F14" s="21"/>
      <c r="G14" s="21">
        <f t="shared" si="0"/>
        <v>43359.82775547311</v>
      </c>
      <c r="H14" s="21">
        <f t="shared" si="0"/>
        <v>9268.8639049782796</v>
      </c>
      <c r="I14" s="21"/>
      <c r="J14" s="21"/>
      <c r="K14" s="21"/>
      <c r="L14" s="21"/>
      <c r="M14" s="21">
        <f t="shared" si="0"/>
        <v>3085.5540082466823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1.3356671036339259E-3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0.11129998525229907</v>
      </c>
      <c r="C18" s="23"/>
      <c r="D18" s="23">
        <f t="shared" ref="D18:M18" si="1">D14*D16</f>
        <v>30.825696980514323</v>
      </c>
      <c r="E18" s="23">
        <f t="shared" si="1"/>
        <v>19.056710418880776</v>
      </c>
      <c r="F18" s="23"/>
      <c r="G18" s="23">
        <f t="shared" si="1"/>
        <v>11577.074010711322</v>
      </c>
      <c r="H18" s="23">
        <f t="shared" si="1"/>
        <v>2307.9471123395915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2.8597515007776043E-5</v>
      </c>
      <c r="C50" s="315">
        <f t="shared" ref="C50:P50" si="2">SUM(C51:C52)</f>
        <v>0</v>
      </c>
      <c r="D50" s="315">
        <f t="shared" si="2"/>
        <v>0</v>
      </c>
      <c r="E50" s="315">
        <f t="shared" si="2"/>
        <v>0</v>
      </c>
      <c r="F50" s="315">
        <f t="shared" si="2"/>
        <v>0</v>
      </c>
      <c r="G50" s="315">
        <f t="shared" si="2"/>
        <v>2.0412390667463661E-3</v>
      </c>
      <c r="H50" s="315">
        <f t="shared" si="2"/>
        <v>0</v>
      </c>
      <c r="I50" s="315">
        <f t="shared" si="2"/>
        <v>0</v>
      </c>
      <c r="J50" s="315">
        <f t="shared" si="2"/>
        <v>0</v>
      </c>
      <c r="K50" s="315">
        <f t="shared" si="2"/>
        <v>0</v>
      </c>
      <c r="L50" s="315">
        <f t="shared" si="2"/>
        <v>0</v>
      </c>
      <c r="M50" s="315">
        <f t="shared" si="2"/>
        <v>1.127143509723727E-4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2.8597515007776043E-5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2.0412390667463661E-3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1.127143509723727E-4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7.9437541688266791</v>
      </c>
      <c r="C54" s="21">
        <f t="shared" ref="C54:P54" si="3">(C50)*10^9/3600</f>
        <v>0</v>
      </c>
      <c r="D54" s="21">
        <f t="shared" si="3"/>
        <v>0</v>
      </c>
      <c r="E54" s="21">
        <f t="shared" si="3"/>
        <v>0</v>
      </c>
      <c r="F54" s="21">
        <f t="shared" si="3"/>
        <v>0</v>
      </c>
      <c r="G54" s="21">
        <f t="shared" si="3"/>
        <v>567.01085187399053</v>
      </c>
      <c r="H54" s="21">
        <f t="shared" si="3"/>
        <v>0</v>
      </c>
      <c r="I54" s="21">
        <f t="shared" si="3"/>
        <v>0</v>
      </c>
      <c r="J54" s="21">
        <f t="shared" si="3"/>
        <v>0</v>
      </c>
      <c r="K54" s="21">
        <f t="shared" si="3"/>
        <v>0</v>
      </c>
      <c r="L54" s="21">
        <f t="shared" si="3"/>
        <v>0</v>
      </c>
      <c r="M54" s="21">
        <f t="shared" si="3"/>
        <v>31.309541936770195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1.3356671036339259E-3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1.0610211122656655E-2</v>
      </c>
      <c r="C58" s="23">
        <f t="shared" ref="C58:P58" ca="1" si="4">C54*C56</f>
        <v>0</v>
      </c>
      <c r="D58" s="23">
        <f t="shared" si="4"/>
        <v>0</v>
      </c>
      <c r="E58" s="23">
        <f t="shared" si="4"/>
        <v>0</v>
      </c>
      <c r="F58" s="23">
        <f t="shared" si="4"/>
        <v>0</v>
      </c>
      <c r="G58" s="23">
        <f t="shared" si="4"/>
        <v>151.39189745035549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6640.5187465459858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49405.5</v>
      </c>
      <c r="C8" s="544">
        <f>B50</f>
        <v>370.58823529411779</v>
      </c>
      <c r="D8" s="545"/>
      <c r="E8" s="545">
        <f>E50</f>
        <v>0</v>
      </c>
      <c r="F8" s="546"/>
      <c r="G8" s="547"/>
      <c r="H8" s="545">
        <f>I50</f>
        <v>0</v>
      </c>
      <c r="I8" s="545">
        <f>G50+F50</f>
        <v>0</v>
      </c>
      <c r="J8" s="545">
        <f>H50+D50+C50</f>
        <v>57753.529411764706</v>
      </c>
      <c r="K8" s="545"/>
      <c r="L8" s="545"/>
      <c r="M8" s="545"/>
      <c r="N8" s="548"/>
      <c r="O8" s="549">
        <f>C8*$C$12+D8*$D$12+E8*$E$12+F8*$F$12+G8*$G$12+H8*$H$12+I8*$I$12+J8*$J$12</f>
        <v>74.858823529411794</v>
      </c>
      <c r="P8" s="1253"/>
      <c r="Q8" s="1254"/>
      <c r="S8" s="539"/>
      <c r="T8" s="1241"/>
      <c r="U8" s="1241"/>
    </row>
    <row r="9" spans="1:21" s="530" customFormat="1" ht="17.45" customHeight="1" thickBot="1">
      <c r="A9" s="550" t="s">
        <v>243</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56046.018746545989</v>
      </c>
      <c r="C10" s="559">
        <f t="shared" ref="C10:L10" si="0">SUM(C8:C9)</f>
        <v>370.58823529411779</v>
      </c>
      <c r="D10" s="559">
        <f t="shared" si="0"/>
        <v>0</v>
      </c>
      <c r="E10" s="559">
        <f t="shared" si="0"/>
        <v>0</v>
      </c>
      <c r="F10" s="559">
        <f t="shared" si="0"/>
        <v>0</v>
      </c>
      <c r="G10" s="559">
        <f t="shared" si="0"/>
        <v>0</v>
      </c>
      <c r="H10" s="559">
        <f t="shared" si="0"/>
        <v>0</v>
      </c>
      <c r="I10" s="559">
        <f t="shared" si="0"/>
        <v>0</v>
      </c>
      <c r="J10" s="559">
        <f t="shared" si="0"/>
        <v>57753.529411764706</v>
      </c>
      <c r="K10" s="559">
        <f t="shared" si="0"/>
        <v>0</v>
      </c>
      <c r="L10" s="559">
        <f t="shared" si="0"/>
        <v>0</v>
      </c>
      <c r="M10" s="960"/>
      <c r="N10" s="960"/>
      <c r="O10" s="560">
        <f>SUM(O4:O9)</f>
        <v>74.858823529411794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70579.28571428571</v>
      </c>
      <c r="C17" s="575">
        <f>B51</f>
        <v>529.41176470588255</v>
      </c>
      <c r="D17" s="576"/>
      <c r="E17" s="576">
        <f>E51</f>
        <v>0</v>
      </c>
      <c r="F17" s="577"/>
      <c r="G17" s="578"/>
      <c r="H17" s="575">
        <f>I51</f>
        <v>0</v>
      </c>
      <c r="I17" s="576">
        <f>G51+F51</f>
        <v>0</v>
      </c>
      <c r="J17" s="576">
        <f>H51+D51+C51</f>
        <v>82505.042016806721</v>
      </c>
      <c r="K17" s="576"/>
      <c r="L17" s="576"/>
      <c r="M17" s="576"/>
      <c r="N17" s="961"/>
      <c r="O17" s="579">
        <f>C17*$C$22+E17*$E$22+H17*$H$22+I17*$I$22+J17*$J$22+D17*$D$22+F17*$F$22+G17*$G$22+K17*$K$22+L17*$L$22</f>
        <v>106.94117647058827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70579.28571428571</v>
      </c>
      <c r="C20" s="558">
        <f>SUM(C17:C19)</f>
        <v>529.41176470588255</v>
      </c>
      <c r="D20" s="558">
        <f t="shared" ref="D20:L20" si="1">SUM(D17:D19)</f>
        <v>0</v>
      </c>
      <c r="E20" s="558">
        <f t="shared" si="1"/>
        <v>0</v>
      </c>
      <c r="F20" s="558">
        <f t="shared" si="1"/>
        <v>0</v>
      </c>
      <c r="G20" s="558">
        <f t="shared" si="1"/>
        <v>0</v>
      </c>
      <c r="H20" s="558">
        <f t="shared" si="1"/>
        <v>0</v>
      </c>
      <c r="I20" s="558">
        <f t="shared" si="1"/>
        <v>0</v>
      </c>
      <c r="J20" s="558">
        <f t="shared" si="1"/>
        <v>82505.042016806721</v>
      </c>
      <c r="K20" s="558">
        <f t="shared" si="1"/>
        <v>0</v>
      </c>
      <c r="L20" s="558">
        <f t="shared" si="1"/>
        <v>0</v>
      </c>
      <c r="M20" s="558"/>
      <c r="N20" s="558"/>
      <c r="O20" s="584">
        <f>SUM(O17:O19)</f>
        <v>106.94117647058827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37011</v>
      </c>
      <c r="C28" s="786">
        <v>8740</v>
      </c>
      <c r="D28" s="636" t="s">
        <v>883</v>
      </c>
      <c r="E28" s="635" t="s">
        <v>884</v>
      </c>
      <c r="F28" s="635" t="s">
        <v>885</v>
      </c>
      <c r="G28" s="635" t="s">
        <v>886</v>
      </c>
      <c r="H28" s="635" t="s">
        <v>887</v>
      </c>
      <c r="I28" s="635" t="s">
        <v>888</v>
      </c>
      <c r="J28" s="785">
        <v>40084</v>
      </c>
      <c r="K28" s="785">
        <v>40084</v>
      </c>
      <c r="L28" s="635" t="s">
        <v>889</v>
      </c>
      <c r="M28" s="635">
        <v>1975</v>
      </c>
      <c r="N28" s="635">
        <v>8887.5</v>
      </c>
      <c r="O28" s="635">
        <v>12696.428571428572</v>
      </c>
      <c r="P28" s="635">
        <v>0</v>
      </c>
      <c r="Q28" s="635">
        <v>25392.857142857145</v>
      </c>
      <c r="R28" s="635">
        <v>0</v>
      </c>
      <c r="S28" s="635">
        <v>0</v>
      </c>
      <c r="T28" s="635">
        <v>0</v>
      </c>
      <c r="U28" s="635">
        <v>0</v>
      </c>
      <c r="V28" s="635">
        <v>0</v>
      </c>
      <c r="W28" s="635">
        <v>0</v>
      </c>
      <c r="X28" s="635">
        <v>10</v>
      </c>
      <c r="Y28" s="635" t="s">
        <v>111</v>
      </c>
      <c r="Z28" s="637" t="s">
        <v>111</v>
      </c>
    </row>
    <row r="29" spans="1:26" s="589" customFormat="1" ht="25.5">
      <c r="A29" s="588"/>
      <c r="B29" s="786">
        <v>37011</v>
      </c>
      <c r="C29" s="786">
        <v>8740</v>
      </c>
      <c r="D29" s="636" t="s">
        <v>890</v>
      </c>
      <c r="E29" s="635" t="s">
        <v>891</v>
      </c>
      <c r="F29" s="635" t="s">
        <v>892</v>
      </c>
      <c r="G29" s="635" t="s">
        <v>886</v>
      </c>
      <c r="H29" s="635" t="s">
        <v>887</v>
      </c>
      <c r="I29" s="635" t="s">
        <v>893</v>
      </c>
      <c r="J29" s="785">
        <v>40983</v>
      </c>
      <c r="K29" s="785">
        <v>40983</v>
      </c>
      <c r="L29" s="635" t="s">
        <v>889</v>
      </c>
      <c r="M29" s="635">
        <v>8934</v>
      </c>
      <c r="N29" s="635">
        <v>40203</v>
      </c>
      <c r="O29" s="635">
        <v>57432.857142857145</v>
      </c>
      <c r="P29" s="635">
        <v>0</v>
      </c>
      <c r="Q29" s="635">
        <v>114865.71428571429</v>
      </c>
      <c r="R29" s="635">
        <v>0</v>
      </c>
      <c r="S29" s="635">
        <v>0</v>
      </c>
      <c r="T29" s="635">
        <v>0</v>
      </c>
      <c r="U29" s="635">
        <v>0</v>
      </c>
      <c r="V29" s="635">
        <v>0</v>
      </c>
      <c r="W29" s="635">
        <v>0</v>
      </c>
      <c r="X29" s="635">
        <v>10</v>
      </c>
      <c r="Y29" s="635" t="s">
        <v>111</v>
      </c>
      <c r="Z29" s="637" t="s">
        <v>111</v>
      </c>
    </row>
    <row r="30" spans="1:26" s="589" customFormat="1" ht="38.25">
      <c r="A30" s="588"/>
      <c r="B30" s="786">
        <v>37011</v>
      </c>
      <c r="C30" s="786">
        <v>8740</v>
      </c>
      <c r="D30" s="636" t="s">
        <v>894</v>
      </c>
      <c r="E30" s="635" t="s">
        <v>895</v>
      </c>
      <c r="F30" s="635" t="s">
        <v>896</v>
      </c>
      <c r="G30" s="635" t="s">
        <v>886</v>
      </c>
      <c r="H30" s="635" t="s">
        <v>887</v>
      </c>
      <c r="I30" s="635" t="s">
        <v>895</v>
      </c>
      <c r="J30" s="785">
        <v>40452</v>
      </c>
      <c r="K30" s="785">
        <v>41030</v>
      </c>
      <c r="L30" s="635" t="s">
        <v>889</v>
      </c>
      <c r="M30" s="635">
        <v>70</v>
      </c>
      <c r="N30" s="635">
        <v>315.00000000000006</v>
      </c>
      <c r="O30" s="635">
        <v>450.00000000000011</v>
      </c>
      <c r="P30" s="635">
        <v>900.00000000000023</v>
      </c>
      <c r="Q30" s="635">
        <v>0</v>
      </c>
      <c r="R30" s="635">
        <v>0</v>
      </c>
      <c r="S30" s="635">
        <v>0</v>
      </c>
      <c r="T30" s="635">
        <v>0</v>
      </c>
      <c r="U30" s="635">
        <v>0</v>
      </c>
      <c r="V30" s="635">
        <v>0</v>
      </c>
      <c r="W30" s="635">
        <v>0</v>
      </c>
      <c r="X30" s="635">
        <v>10</v>
      </c>
      <c r="Y30" s="635" t="s">
        <v>111</v>
      </c>
      <c r="Z30" s="637" t="s">
        <v>111</v>
      </c>
    </row>
    <row r="31" spans="1:26" s="569" customFormat="1">
      <c r="A31" s="591" t="s">
        <v>275</v>
      </c>
      <c r="B31" s="592"/>
      <c r="C31" s="592"/>
      <c r="D31" s="592"/>
      <c r="E31" s="592"/>
      <c r="F31" s="592"/>
      <c r="G31" s="592"/>
      <c r="H31" s="592"/>
      <c r="I31" s="592"/>
      <c r="J31" s="592"/>
      <c r="K31" s="592"/>
      <c r="L31" s="593"/>
      <c r="M31" s="593">
        <f>SUM(M28:M30)</f>
        <v>10979</v>
      </c>
      <c r="N31" s="593">
        <f>SUM(N28:N30)</f>
        <v>49405.5</v>
      </c>
      <c r="O31" s="593">
        <f>SUM(O28:O30)</f>
        <v>70579.28571428571</v>
      </c>
      <c r="P31" s="593">
        <f>SUM(P28:P30)</f>
        <v>900.00000000000023</v>
      </c>
      <c r="Q31" s="593">
        <f>SUM(Q28:Q30)</f>
        <v>140258.57142857142</v>
      </c>
      <c r="R31" s="593">
        <f>SUM(R28:R30)</f>
        <v>0</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0</v>
      </c>
      <c r="N32" s="593">
        <f>SUMIF($Z$28:$Z$30,"industrie",N28:N30)</f>
        <v>0</v>
      </c>
      <c r="O32" s="593">
        <f>SUMIF($Z$28:$Z$30,"industrie",O28:O30)</f>
        <v>0</v>
      </c>
      <c r="P32" s="593">
        <f>SUMIF($Z$28:$Z$30,"industrie",P28:P30)</f>
        <v>0</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0</v>
      </c>
      <c r="N33" s="593">
        <f ca="1">SUMIF($Z$28:AD30,"tertiair",N28:N30)</f>
        <v>0</v>
      </c>
      <c r="O33" s="593">
        <f ca="1">SUMIF($Z$28:AE30,"tertiair",O28:O30)</f>
        <v>0</v>
      </c>
      <c r="P33" s="593">
        <f ca="1">SUMIF($Z$28:AF30,"tertiair",P28:P30)</f>
        <v>0</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10979</v>
      </c>
      <c r="N34" s="598">
        <f>SUMIF($Z$28:$Z$30,"landbouw",N28:N30)</f>
        <v>49405.5</v>
      </c>
      <c r="O34" s="598">
        <f>SUMIF($Z$28:$Z$30,"landbouw",O28:O30)</f>
        <v>70579.28571428571</v>
      </c>
      <c r="P34" s="598">
        <f>SUMIF($Z$28:$Z$30,"landbouw",P28:P30)</f>
        <v>900.00000000000023</v>
      </c>
      <c r="Q34" s="598">
        <f>SUMIF($Z$28:$Z$30,"landbouw",Q28:Q30)</f>
        <v>140258.57142857142</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12.75">
      <c r="A37" s="590"/>
      <c r="B37" s="786"/>
      <c r="C37" s="786"/>
      <c r="D37" s="638"/>
      <c r="E37" s="638"/>
      <c r="F37" s="638"/>
      <c r="G37" s="638"/>
      <c r="H37" s="638"/>
      <c r="I37" s="638"/>
      <c r="J37" s="785"/>
      <c r="K37" s="785"/>
      <c r="L37" s="638"/>
      <c r="M37" s="638"/>
      <c r="N37" s="638"/>
      <c r="O37" s="638"/>
      <c r="P37" s="638"/>
      <c r="Q37" s="638"/>
      <c r="R37" s="638"/>
      <c r="S37" s="638"/>
      <c r="T37" s="638"/>
      <c r="U37" s="638"/>
      <c r="V37" s="638"/>
      <c r="W37" s="638"/>
      <c r="X37" s="638"/>
      <c r="Y37" s="638"/>
      <c r="Z37" s="639"/>
    </row>
    <row r="38" spans="1:27" s="569" customFormat="1">
      <c r="A38" s="591" t="s">
        <v>275</v>
      </c>
      <c r="B38" s="592"/>
      <c r="C38" s="592"/>
      <c r="D38" s="592"/>
      <c r="E38" s="592"/>
      <c r="F38" s="592"/>
      <c r="G38" s="592"/>
      <c r="H38" s="592"/>
      <c r="I38" s="592"/>
      <c r="J38" s="592"/>
      <c r="K38" s="592"/>
      <c r="L38" s="593"/>
      <c r="M38" s="593">
        <f>SUM(M37:M37)</f>
        <v>0</v>
      </c>
      <c r="N38" s="593">
        <f>SUM(N37:N37)</f>
        <v>0</v>
      </c>
      <c r="O38" s="593">
        <f>SUM(O37:O37)</f>
        <v>0</v>
      </c>
      <c r="P38" s="593">
        <f>SUM(P37:P37)</f>
        <v>0</v>
      </c>
      <c r="Q38" s="593">
        <f>SUM(Q37:Q37)</f>
        <v>0</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0</v>
      </c>
      <c r="N40" s="593">
        <f>SUMIF($Z$37:$Z$38,"tertiair",N37:N38)</f>
        <v>0</v>
      </c>
      <c r="O40" s="593">
        <f>SUMIF($Z$37:$Z$38,"tertiair",O37:O38)</f>
        <v>0</v>
      </c>
      <c r="P40" s="593">
        <f>SUMIF($Z$37:$Z$38,"tertiair",P37:P38)</f>
        <v>0</v>
      </c>
      <c r="Q40" s="593">
        <f>SUMIF($Z$37:$Z$38,"tertiair",Q37:Q38)</f>
        <v>0</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0.58823529411764708</v>
      </c>
      <c r="C47" s="618">
        <f>IF(ISERROR(N31/(O31+N31)),0,N31/(N31+O31))</f>
        <v>0.41176470588235298</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370.58823529411779</v>
      </c>
      <c r="C50" s="627">
        <f t="shared" si="2"/>
        <v>57753.529411764706</v>
      </c>
      <c r="D50" s="627">
        <f t="shared" si="2"/>
        <v>0</v>
      </c>
      <c r="E50" s="627">
        <f t="shared" si="2"/>
        <v>0</v>
      </c>
      <c r="F50" s="627">
        <f t="shared" si="2"/>
        <v>0</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529.41176470588255</v>
      </c>
      <c r="C51" s="630">
        <f t="shared" si="3"/>
        <v>82505.042016806721</v>
      </c>
      <c r="D51" s="630">
        <f t="shared" si="3"/>
        <v>0</v>
      </c>
      <c r="E51" s="630">
        <f t="shared" si="3"/>
        <v>0</v>
      </c>
      <c r="F51" s="630">
        <f t="shared" si="3"/>
        <v>0</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2021-06-29T14:32:40Z</dcterms:modified>
</cp:coreProperties>
</file>