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2" i="59"/>
  <c r="C29" i="20"/>
  <c r="C20" i="16"/>
  <c r="C22" i="16" s="1"/>
  <c r="D43"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<sst xmlns="http://schemas.openxmlformats.org/spreadsheetml/2006/main" count="2502" uniqueCount="909">
  <si>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</si>
  <si>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</si>
  <si>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</si>
  <si>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</si>
  <si>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</si>
  <si>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</si>
  <si>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</si>
  <si>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</si>
  <si>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</si>
  <si>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</si>
  <si>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</si>
  <si>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</si>
  <si>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</si>
  <si>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</si>
  <si>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</si>
  <si>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</si>
  <si>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</si>
  <si>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</si>
  <si>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</si>
  <si>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</si>
  <si>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</si>
  <si>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</si>
  <si>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</si>
  <si>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</si>
  <si>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</si>
  <si>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</si>
  <si>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</si>
  <si>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</si>
  <si>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</si>
  <si>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</si>
  <si>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</si>
  <si>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</si>
  <si>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</si>
  <si>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</si>
  <si>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</si>
  <si>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</si>
  <si>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</si>
  <si>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</si>
  <si>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</si>
  <si>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</si>
  <si>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</si>
  <si>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</si>
  <si>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</si>
  <si>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</si>
  <si>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</si>
  <si>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</si>
  <si>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</si>
  <si>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</si>
  <si>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</si>
  <si>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</si>
  <si>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</si>
  <si>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</si>
  <si>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</si>
  <si>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</si>
  <si>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</si>
  <si>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</si>
  <si>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</si>
  <si>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</si>
  <si>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</si>
  <si>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</si>
  <si>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</si>
  <si>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</si>
  <si>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</si>
  <si>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</si>
  <si>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</si>
  <si>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</si>
  <si>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</si>
  <si>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</si>
  <si>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</si>
  <si>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</si>
  <si>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</si>
  <si>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</si>
  <si>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</si>
  <si>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</si>
  <si>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</si>
  <si>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</si>
  <si>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</si>
  <si>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</si>
  <si>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</si>
  <si>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</si>
  <si>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</si>
  <si>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</si>
  <si>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</si>
  <si>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</si>
  <si>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</si>
  <si>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</si>
  <si>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</si>
  <si>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</si>
  <si>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</si>
  <si>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</si>
  <si>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</si>
  <si>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</si>
  <si>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</si>
  <si>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</si>
  <si>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</si>
  <si>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</si>
  <si>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</si>
  <si>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</si>
  <si>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</si>
  <si>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</si>
  <si>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</si>
  <si>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</si>
  <si>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</si>
  <si>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</si>
  <si>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</si>
  <si>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</si>
  <si>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</si>
  <si>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</si>
  <si>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</si>
  <si>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</si>
  <si>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</si>
  <si>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</si>
  <si>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</si>
  <si>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</si>
  <si>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</si>
  <si>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</si>
  <si>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</si>
  <si>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</si>
  <si>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</si>
  <si>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</si>
  <si>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</si>
  <si>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</si>
  <si>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</si>
  <si>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</si>
  <si>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</si>
  <si>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</si>
  <si>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</si>
  <si>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</si>
  <si>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</si>
  <si>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</si>
  <si>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</si>
  <si>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</si>
  <si>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</si>
  <si>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</si>
  <si>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</si>
  <si>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</si>
  <si>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</si>
  <si>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</si>
  <si>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</si>
  <si>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</si>
  <si>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</si>
  <si>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</si>
  <si>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</si>
  <si>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</si>
  <si>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</si>
  <si>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</si>
  <si>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</si>
  <si>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</si>
  <si>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</si>
  <si>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</si>
  <si>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</si>
  <si>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</si>
  <si>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</si>
  <si>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</si>
  <si>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</si>
  <si>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</si>
  <si>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</si>
  <si>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</si>
  <si>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</si>
  <si>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</si>
  <si>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</si>
  <si>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</si>
  <si>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</si>
  <si>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</si>
  <si>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</si>
  <si>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</si>
  <si>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</si>
  <si>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</si>
  <si>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</si>
  <si>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</si>
  <si>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</si>
  <si>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</si>
  <si>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</si>
  <si>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</si>
  <si>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</si>
  <si>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</si>
  <si>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</si>
  <si>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</si>
  <si>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</si>
  <si>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</si>
  <si>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</si>
  <si>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</si>
  <si>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</si>
  <si>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</si>
  <si>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</si>
  <si>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</si>
  <si>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</si>
  <si>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</si>
  <si>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</si>
  <si>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</si>
  <si>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</si>
  <si>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</si>
  <si>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</si>
  <si>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</si>
  <si>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</si>
  <si>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</si>
  <si>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</si>
  <si>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</si>
  <si>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</si>
  <si>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</si>
  <si>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</si>
  <si>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</si>
  <si>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</si>
  <si>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</si>
  <si>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</si>
  <si>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</si>
  <si>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</si>
  <si>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</si>
  <si>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</si>
  <si>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</si>
  <si>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</si>
  <si>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</si>
  <si>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</si>
  <si>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</si>
  <si>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</si>
  <si>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</si>
  <si>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</si>
  <si>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</si>
  <si>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</si>
  <si>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</si>
  <si>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</si>
  <si>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</si>
  <si>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</si>
  <si>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</si>
  <si>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</si>
  <si>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</si>
  <si>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</si>
  <si>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</si>
  <si>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</si>
  <si>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</si>
  <si>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</si>
  <si>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</si>
  <si>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</si>
  <si>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</si>
  <si>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</si>
  <si>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</si>
  <si>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</si>
  <si>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</si>
  <si>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</si>
  <si>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</si>
  <si>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</si>
  <si>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</si>
  <si>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</si>
  <si>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</si>
  <si>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</si>
  <si>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</si>
  <si>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</si>
  <si>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</si>
  <si>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</si>
  <si>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</si>
  <si>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</si>
  <si>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</si>
  <si>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</si>
  <si>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</si>
  <si>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</si>
  <si>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</si>
  <si>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</si>
  <si>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</si>
  <si>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</si>
  <si>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</si>
  <si>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</si>
  <si>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</si>
  <si>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</si>
  <si>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</si>
  <si>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</si>
  <si>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</si>
  <si>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</si>
  <si>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</si>
  <si>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</si>
  <si>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</si>
  <si>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</si>
  <si>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</si>
  <si>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</si>
  <si>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</si>
  <si>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</si>
  <si>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</si>
  <si>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</si>
  <si>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</si>
  <si>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</si>
  <si>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</si>
  <si>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</si>
  <si>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</si>
  <si>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</si>
  <si>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</si>
  <si>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</si>
  <si>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</si>
  <si>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</si>
  <si>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</si>
  <si>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</si>
  <si>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</si>
  <si>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</si>
  <si>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</si>
  <si>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</si>
  <si>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</si>
  <si>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</si>
  <si>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</si>
  <si>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</si>
  <si>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</si>
  <si>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</si>
  <si>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</si>
  <si>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</si>
  <si>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</si>
  <si>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</si>
  <si>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</si>
  <si>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</si>
  <si>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</si>
  <si>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</si>
  <si>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</si>
  <si>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</si>
  <si>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</si>
  <si>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</si>
  <si>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</si>
  <si>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</si>
  <si>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</si>
  <si>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</si>
  <si>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</si>
  <si>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</si>
  <si>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</si>
  <si>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</si>
  <si>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</si>
  <si>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</si>
  <si>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</si>
  <si>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</si>
  <si>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</si>
  <si>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</si>
  <si>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</si>
  <si>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</si>
  <si>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</si>
  <si>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</si>
  <si>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</si>
  <si>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</si>
  <si>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</si>
  <si>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</si>
  <si>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</si>
  <si>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</si>
  <si>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</si>
  <si>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</si>
  <si>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</si>
  <si>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</si>
  <si>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</si>
  <si>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</si>
  <si>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</si>
  <si>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</si>
  <si>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</si>
  <si>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</si>
  <si>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</si>
  <si>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</si>
  <si>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</si>
  <si>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</si>
  <si>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</si>
  <si>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</si>
  <si>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</si>
  <si>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</si>
  <si>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</si>
  <si>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</si>
  <si>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</si>
  <si>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</si>
  <si>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</si>
  <si>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</si>
  <si>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</si>
  <si>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</si>
  <si>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</si>
  <si>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</si>
  <si>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</si>
  <si>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</si>
  <si>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</si>
  <si>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</si>
  <si>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</si>
  <si>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</si>
  <si>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</si>
  <si>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</si>
  <si>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</si>
  <si>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</si>
  <si>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</si>
  <si>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</si>
  <si>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</si>
  <si>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</si>
  <si>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</si>
  <si>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</si>
  <si>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</si>
  <si>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</si>
  <si>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</si>
  <si>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</si>
  <si>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</si>
  <si>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</si>
  <si>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</si>
  <si>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</si>
  <si>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</si>
  <si>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</si>
  <si>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</si>
  <si>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</si>
  <si>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</si>
  <si>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</si>
  <si>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</si>
  <si>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</si>
  <si>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</si>
  <si>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</si>
  <si>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</si>
  <si>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</si>
  <si>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</si>
  <si>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</si>
  <si>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</si>
  <si>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</si>
  <si>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</si>
  <si>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</si>
  <si>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</si>
  <si>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</si>
  <si>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</si>
  <si>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</si>
  <si>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</si>
  <si>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</si>
  <si>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</si>
  <si>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</si>
  <si>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</si>
  <si>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</si>
  <si>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</si>
  <si>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</si>
  <si>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</si>
  <si>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</si>
  <si>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</si>
  <si>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</si>
  <si>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</si>
  <si>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</si>
  <si>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</si>
  <si>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</si>
  <si>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</si>
  <si>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</si>
  <si>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</si>
  <si>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</si>
  <si>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</si>
  <si>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</si>
  <si>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</si>
  <si>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</si>
  <si>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</si>
  <si>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</si>
  <si>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</si>
  <si>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</si>
  <si>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</si>
  <si>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</si>
  <si>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</si>
  <si>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</si>
  <si>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</si>
  <si>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</si>
  <si>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</si>
  <si>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</si>
  <si>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</si>
  <si>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</si>
  <si>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</si>
  <si>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</si>
  <si>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</si>
  <si>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</si>
  <si>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</si>
  <si>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</si>
  <si>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</si>
  <si>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</si>
  <si>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</si>
  <si>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</si>
  <si>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</si>
  <si>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</si>
  <si>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</si>
  <si>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</si>
  <si>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</si>
  <si>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</si>
  <si>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</si>
  <si>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</si>
  <si>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</si>
  <si>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</si>
  <si>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</si>
  <si>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</si>
  <si>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</si>
  <si>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</si>
  <si>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</si>
  <si>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</si>
  <si>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</si>
  <si>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</si>
  <si>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</si>
  <si>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</si>
  <si>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</si>
  <si>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</si>
  <si>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</si>
  <si>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</si>
  <si>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</si>
  <si>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</si>
  <si>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</si>
  <si>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</si>
  <si>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</si>
  <si>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</si>
  <si>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</si>
  <si>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</si>
  <si>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</si>
  <si>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</si>
  <si>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</si>
  <si>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</si>
  <si>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</si>
  <si>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</si>
  <si>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</si>
  <si>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</si>
  <si>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</si>
  <si>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</si>
  <si>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</si>
  <si>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</si>
  <si>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</si>
  <si>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</si>
  <si>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</si>
  <si>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</si>
  <si>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</si>
  <si>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</si>
  <si>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</si>
  <si>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</si>
  <si>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</si>
  <si>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</si>
  <si>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</si>
  <si>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</si>
  <si>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</si>
  <si>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</si>
  <si>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</si>
  <si>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</si>
  <si>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</si>
  <si>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</si>
  <si>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</si>
  <si>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</si>
  <si>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</si>
  <si>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</si>
  <si>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</si>
  <si>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</si>
  <si>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</si>
  <si>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</si>
  <si>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</si>
  <si>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</si>
  <si>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</si>
  <si>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</si>
  <si>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</si>
  <si>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</si>
  <si>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</si>
  <si>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</si>
  <si>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</si>
  <si>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</si>
  <si>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</si>
  <si>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</si>
  <si>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</si>
  <si>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</si>
  <si>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</si>
  <si>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</si>
  <si>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</si>
  <si>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</si>
  <si>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</si>
  <si>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</si>
  <si>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</si>
  <si>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</si>
  <si>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</si>
  <si>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</si>
  <si>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</si>
  <si>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</si>
  <si>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</si>
  <si>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</si>
  <si>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</si>
  <si>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</si>
  <si>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</si>
  <si>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</si>
  <si>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</si>
  <si>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</si>
  <si>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</si>
  <si>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</si>
  <si>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</si>
  <si>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</si>
  <si>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</si>
  <si>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</si>
  <si>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</si>
  <si>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</si>
  <si>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</si>
  <si>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</si>
  <si>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</si>
  <si>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</si>
  <si>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</si>
  <si>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</si>
  <si>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</si>
  <si>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</si>
  <si>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</si>
  <si>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</si>
  <si>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</si>
  <si>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</si>
  <si>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</si>
  <si>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</si>
  <si>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</si>
  <si>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</si>
  <si>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</si>
  <si>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</si>
  <si>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</si>
  <si>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</si>
  <si>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</si>
  <si>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</si>
  <si>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</si>
  <si>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</si>
  <si>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</si>
  <si>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</si>
  <si>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</si>
  <si>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</si>
  <si>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</si>
  <si>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</si>
  <si>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</si>
  <si>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</si>
  <si>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</si>
  <si>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</si>
  <si>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</si>
  <si>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</si>
  <si>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</si>
  <si>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</si>
  <si>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</si>
  <si>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</si>
  <si>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</si>
  <si>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</si>
  <si>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</si>
  <si>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</si>
  <si>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</si>
  <si>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</si>
  <si>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</si>
  <si>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</si>
  <si>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</si>
  <si>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</si>
  <si>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</si>
  <si>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</si>
  <si>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</si>
  <si>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</si>
  <si>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</si>
  <si>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</si>
  <si>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</si>
  <si>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</si>
  <si>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</si>
  <si>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</si>
  <si>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</si>
  <si>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</si>
  <si>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</si>
  <si>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</si>
  <si>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</si>
  <si>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</si>
  <si>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</si>
  <si>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</si>
  <si>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</si>
  <si>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</si>
  <si>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</si>
  <si>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</si>
  <si>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</si>
  <si>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</si>
  <si>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</si>
  <si>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</si>
  <si>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</si>
  <si>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</si>
  <si>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</si>
  <si>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</si>
  <si>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</si>
  <si>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</si>
  <si>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</si>
  <si>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</si>
  <si>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</si>
  <si>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</si>
  <si>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</si>
  <si>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</si>
  <si>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</si>
  <si>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</si>
  <si>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</si>
  <si>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</si>
  <si>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</si>
  <si>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</si>
  <si>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</si>
  <si>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</si>
  <si>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</si>
  <si>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</si>
  <si>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</si>
  <si>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</si>
  <si>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</si>
  <si>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</si>
  <si>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</si>
  <si>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</si>
  <si>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</si>
  <si>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</si>
  <si>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</si>
  <si>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</si>
  <si>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</si>
  <si>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</si>
  <si>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</si>
  <si>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</si>
  <si>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</si>
  <si>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</si>
  <si>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</si>
  <si>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</si>
  <si>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</si>
  <si>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</si>
  <si>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</si>
  <si>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</si>
  <si>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</si>
  <si>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</si>
  <si>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</si>
  <si>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</si>
  <si>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</si>
  <si>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</si>
  <si>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</si>
  <si>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</si>
  <si>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</si>
  <si>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</si>
  <si>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</si>
  <si>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</si>
  <si>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</si>
  <si>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</si>
  <si>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</si>
  <si>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</si>
  <si>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</si>
  <si>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</si>
  <si>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</si>
  <si>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</si>
  <si>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</si>
  <si>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</si>
  <si>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</si>
  <si>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</si>
  <si>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</si>
  <si>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</si>
  <si>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</si>
  <si>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</si>
  <si>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</si>
  <si>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</si>
  <si>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</si>
  <si>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</si>
  <si>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</si>
  <si>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</si>
  <si>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</si>
  <si>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</si>
  <si>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</si>
  <si>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</si>
  <si>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</si>
  <si>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</si>
  <si>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</si>
  <si>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</si>
  <si>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</si>
  <si>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</si>
  <si>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</si>
  <si>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</si>
  <si>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</si>
  <si>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</si>
  <si>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</si>
  <si>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</si>
  <si>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</si>
  <si>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</si>
  <si>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</si>
  <si>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</si>
  <si>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</si>
  <si>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</si>
  <si>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</si>
  <si>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</si>
  <si>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</si>
  <si>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</si>
  <si>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</si>
  <si>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</si>
  <si>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</si>
  <si>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</si>
  <si>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</si>
  <si>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</si>
  <si>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</si>
  <si>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</si>
  <si>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</si>
  <si>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</si>
  <si>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</si>
  <si>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</si>
  <si>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</si>
  <si>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</si>
  <si>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</si>
  <si>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</si>
  <si>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</si>
  <si>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</si>
  <si>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</si>
  <si>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</si>
  <si>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</si>
  <si>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</si>
  <si>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</si>
  <si>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</si>
  <si>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</si>
  <si>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</si>
  <si>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</si>
  <si>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</si>
  <si>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</si>
  <si>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</si>
  <si>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</si>
  <si>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</si>
  <si>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</si>
  <si>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</si>
  <si>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</si>
  <si>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</si>
  <si>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</si>
  <si>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</si>
  <si>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</si>
  <si>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</si>
  <si>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</si>
  <si>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</si>
  <si>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</si>
  <si>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</si>
  <si>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</si>
  <si>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</si>
  <si>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</si>
  <si>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</si>
  <si>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</si>
  <si>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</si>
  <si>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</si>
  <si>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</si>
  <si>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</si>
  <si>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</si>
  <si>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</si>
  <si>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</si>
  <si>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</si>
  <si>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</si>
  <si>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</si>
  <si>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</si>
  <si>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</si>
  <si>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</si>
  <si>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</si>
  <si>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</si>
  <si>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</si>
  <si>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</si>
  <si>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</si>
  <si>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</si>
  <si>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</si>
  <si>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</si>
  <si>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</si>
  <si>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</si>
  <si>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</si>
  <si>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</si>
  <si>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</si>
  <si>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</si>
  <si>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</si>
  <si>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</si>
  <si>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</si>
  <si>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</si>
  <si>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</si>
  <si>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</si>
  <si>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</si>
  <si>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</si>
  <si>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</si>
  <si>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</si>
  <si>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</si>
  <si>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</si>
  <si>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</si>
  <si>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</si>
  <si>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</si>
  <si>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</si>
  <si>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</si>
  <si>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</si>
  <si>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</si>
  <si>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</si>
  <si>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</si>
  <si>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</si>
  <si>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</si>
  <si>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</si>
  <si>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</si>
  <si>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</si>
  <si>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</si>
  <si>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</si>
  <si>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</si>
  <si>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</si>
  <si>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</si>
  <si>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</si>
  <si>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</si>
  <si>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</si>
  <si>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</si>
  <si>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</si>
  <si>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</si>
  <si>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</si>
  <si>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</si>
  <si>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</si>
  <si>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</si>
  <si>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</si>
  <si>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</si>
  <si>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</si>
  <si>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</si>
  <si>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</si>
  <si>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</si>
  <si>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</si>
  <si>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</si>
  <si>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</si>
  <si>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</si>
  <si>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</si>
  <si>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</si>
  <si>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</si>
  <si>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36015</t>
  </si>
  <si>
    <t>ROESELARE</t>
  </si>
  <si>
    <t>referentietaak LNE (2017); Jaarverslag De Lijn</t>
  </si>
  <si>
    <t>waterkracht</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</si>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</sst>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490383.53948484594</c:v>
                </c:pt>
                <c:pt idx="1">
                  <c:v>421476.40046632598</c:v>
                </c:pt>
                <c:pt idx="2">
                  <c:v>5102.3280000000004</c:v>
                </c:pt>
                <c:pt idx="3">
                  <c:v>16558.176316382989</c:v>
                </c:pt>
                <c:pt idx="4">
                  <c:v>551865.03656695096</c:v>
                </c:pt>
                <c:pt idx="5">
                  <c:v>274654.54121756274</c:v>
                </c:pt>
                <c:pt idx="6">
                  <c:v>5017.7784238608474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490383.53948484594</c:v>
                </c:pt>
                <c:pt idx="1">
                  <c:v>421476.40046632598</c:v>
                </c:pt>
                <c:pt idx="2">
                  <c:v>5102.3280000000004</c:v>
                </c:pt>
                <c:pt idx="3">
                  <c:v>16558.176316382989</c:v>
                </c:pt>
                <c:pt idx="4">
                  <c:v>551865.03656695096</c:v>
                </c:pt>
                <c:pt idx="5">
                  <c:v>274654.54121756274</c:v>
                </c:pt>
                <c:pt idx="6">
                  <c:v>5017.7784238608474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95639.68252828774</c:v>
                </c:pt>
                <c:pt idx="1">
                  <c:v>79341.871044739222</c:v>
                </c:pt>
                <c:pt idx="2">
                  <c:v>961.85746287331176</c:v>
                </c:pt>
                <c:pt idx="3">
                  <c:v>4112.9030353407361</c:v>
                </c:pt>
                <c:pt idx="4">
                  <c:v>107093.05861583909</c:v>
                </c:pt>
                <c:pt idx="5">
                  <c:v>68363.723324584222</c:v>
                </c:pt>
                <c:pt idx="6">
                  <c:v>1265.3975086414991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95639.68252828774</c:v>
                </c:pt>
                <c:pt idx="1">
                  <c:v>79341.871044739222</c:v>
                </c:pt>
                <c:pt idx="2">
                  <c:v>961.85746287331176</c:v>
                </c:pt>
                <c:pt idx="3">
                  <c:v>4112.9030353407361</c:v>
                </c:pt>
                <c:pt idx="4">
                  <c:v>107093.05861583909</c:v>
                </c:pt>
                <c:pt idx="5">
                  <c:v>68363.723324584222</c:v>
                </c:pt>
                <c:pt idx="6">
                  <c:v>1265.3975086414991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36015</v>
      </c>
      <c r="B6" s="386"/>
      <c r="C6" s="387"/>
    </row>
    <row r="7" spans="1:7" s="384" customFormat="1" ht="15.75" customHeight="1">
      <c r="A7" s="388" t="str">
        <f>txtMunicipality</f>
        <v>ROESELARE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192523.43880932557</v>
      </c>
      <c r="D10" s="682">
        <f ca="1">tertiair!C16</f>
        <v>41355.000000000007</v>
      </c>
      <c r="E10" s="682">
        <f ca="1">tertiair!D16</f>
        <v>167572.96526668366</v>
      </c>
      <c r="F10" s="682">
        <f>tertiair!E16</f>
        <v>454.82654148126176</v>
      </c>
      <c r="G10" s="682">
        <f ca="1">tertiair!F16</f>
        <v>24012.471765735969</v>
      </c>
      <c r="H10" s="682">
        <f>tertiair!G16</f>
        <v>0</v>
      </c>
      <c r="I10" s="682">
        <f>tertiair!H16</f>
        <v>0</v>
      </c>
      <c r="J10" s="682">
        <f>tertiair!I16</f>
        <v>0</v>
      </c>
      <c r="K10" s="682">
        <f>tertiair!J16</f>
        <v>0.1728588265695965</v>
      </c>
      <c r="L10" s="682">
        <f>tertiair!K16</f>
        <v>0</v>
      </c>
      <c r="M10" s="682">
        <f ca="1">tertiair!L16</f>
        <v>0</v>
      </c>
      <c r="N10" s="682">
        <f>tertiair!M16</f>
        <v>0</v>
      </c>
      <c r="O10" s="682">
        <f ca="1">tertiair!N16</f>
        <v>0</v>
      </c>
      <c r="P10" s="682">
        <f>tertiair!O16</f>
        <v>29.383564595046927</v>
      </c>
      <c r="Q10" s="683">
        <f>tertiair!P16</f>
        <v>630.46965967794017</v>
      </c>
      <c r="R10" s="685">
        <f ca="1">SUM(C10:Q10)</f>
        <v>426578.72846632602</v>
      </c>
      <c r="S10" s="67"/>
    </row>
    <row r="11" spans="1:19" s="445" customFormat="1">
      <c r="A11" s="803" t="s">
        <v>220</v>
      </c>
      <c r="B11" s="808"/>
      <c r="C11" s="682">
        <f>huishoudens!B8</f>
        <v>94976.10749061979</v>
      </c>
      <c r="D11" s="682">
        <f>huishoudens!C8</f>
        <v>0</v>
      </c>
      <c r="E11" s="682">
        <f>huishoudens!D8</f>
        <v>266134.91707142926</v>
      </c>
      <c r="F11" s="682">
        <f>huishoudens!E8</f>
        <v>3786.606104462167</v>
      </c>
      <c r="G11" s="682">
        <f>huishoudens!F8</f>
        <v>86008.518957111097</v>
      </c>
      <c r="H11" s="682">
        <f>huishoudens!G8</f>
        <v>0</v>
      </c>
      <c r="I11" s="682">
        <f>huishoudens!H8</f>
        <v>0</v>
      </c>
      <c r="J11" s="682">
        <f>huishoudens!I8</f>
        <v>0</v>
      </c>
      <c r="K11" s="682">
        <f>huishoudens!J8</f>
        <v>430.28610903918184</v>
      </c>
      <c r="L11" s="682">
        <f>huishoudens!K8</f>
        <v>0</v>
      </c>
      <c r="M11" s="682">
        <f>huishoudens!L8</f>
        <v>0</v>
      </c>
      <c r="N11" s="682">
        <f>huishoudens!M8</f>
        <v>0</v>
      </c>
      <c r="O11" s="682">
        <f>huishoudens!N8</f>
        <v>35065.091758427916</v>
      </c>
      <c r="P11" s="682">
        <f>huishoudens!O8</f>
        <v>1664.5409460657197</v>
      </c>
      <c r="Q11" s="683">
        <f>huishoudens!P8</f>
        <v>2317.4710476907053</v>
      </c>
      <c r="R11" s="685">
        <f>SUM(C11:Q11)</f>
        <v>490383.53948484594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218635.17621990037</v>
      </c>
      <c r="D13" s="682">
        <f>industrie!C18</f>
        <v>9000</v>
      </c>
      <c r="E13" s="682">
        <f>industrie!D18</f>
        <v>287578.02873333846</v>
      </c>
      <c r="F13" s="682">
        <f>industrie!E18</f>
        <v>1327.8989726463569</v>
      </c>
      <c r="G13" s="682">
        <f>industrie!F18</f>
        <v>25029.756723036593</v>
      </c>
      <c r="H13" s="682">
        <f>industrie!G18</f>
        <v>0</v>
      </c>
      <c r="I13" s="682">
        <f>industrie!H18</f>
        <v>0</v>
      </c>
      <c r="J13" s="682">
        <f>industrie!I18</f>
        <v>0</v>
      </c>
      <c r="K13" s="682">
        <f>industrie!J18</f>
        <v>24.732158998970831</v>
      </c>
      <c r="L13" s="682">
        <f>industrie!K18</f>
        <v>0</v>
      </c>
      <c r="M13" s="682">
        <f>industrie!L18</f>
        <v>0</v>
      </c>
      <c r="N13" s="682">
        <f>industrie!M18</f>
        <v>0</v>
      </c>
      <c r="O13" s="682">
        <f>industrie!N18</f>
        <v>10269.443759030182</v>
      </c>
      <c r="P13" s="682">
        <f>industrie!O18</f>
        <v>0</v>
      </c>
      <c r="Q13" s="683">
        <f>industrie!P18</f>
        <v>0</v>
      </c>
      <c r="R13" s="685">
        <f>SUM(C13:Q13)</f>
        <v>551865.03656695096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506134.7225198457</v>
      </c>
      <c r="D16" s="718">
        <f t="shared" ref="D16:R16" ca="1" si="0">SUM(D9:D15)</f>
        <v>50355.000000000007</v>
      </c>
      <c r="E16" s="718">
        <f t="shared" ca="1" si="0"/>
        <v>721285.91107145138</v>
      </c>
      <c r="F16" s="718">
        <f t="shared" si="0"/>
        <v>5569.3316185897856</v>
      </c>
      <c r="G16" s="718">
        <f t="shared" ca="1" si="0"/>
        <v>135050.74744588367</v>
      </c>
      <c r="H16" s="718">
        <f t="shared" si="0"/>
        <v>0</v>
      </c>
      <c r="I16" s="718">
        <f t="shared" si="0"/>
        <v>0</v>
      </c>
      <c r="J16" s="718">
        <f t="shared" si="0"/>
        <v>0</v>
      </c>
      <c r="K16" s="718">
        <f t="shared" si="0"/>
        <v>455.19112686472226</v>
      </c>
      <c r="L16" s="718">
        <f t="shared" si="0"/>
        <v>0</v>
      </c>
      <c r="M16" s="718">
        <f t="shared" ca="1" si="0"/>
        <v>0</v>
      </c>
      <c r="N16" s="718">
        <f t="shared" si="0"/>
        <v>0</v>
      </c>
      <c r="O16" s="718">
        <f t="shared" ca="1" si="0"/>
        <v>45334.535517458098</v>
      </c>
      <c r="P16" s="718">
        <f t="shared" si="0"/>
        <v>1693.9245106607666</v>
      </c>
      <c r="Q16" s="718">
        <f t="shared" si="0"/>
        <v>2947.9407073686452</v>
      </c>
      <c r="R16" s="718">
        <f t="shared" ca="1" si="0"/>
        <v>1468827.3045181229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65.746916431771623</v>
      </c>
      <c r="D19" s="682">
        <f>transport!C54</f>
        <v>0</v>
      </c>
      <c r="E19" s="682">
        <f>transport!D54</f>
        <v>0</v>
      </c>
      <c r="F19" s="682">
        <f>transport!E54</f>
        <v>0</v>
      </c>
      <c r="G19" s="682">
        <f>transport!F54</f>
        <v>0</v>
      </c>
      <c r="H19" s="682">
        <f>transport!G54</f>
        <v>4692.8963688680178</v>
      </c>
      <c r="I19" s="682">
        <f>transport!H54</f>
        <v>0</v>
      </c>
      <c r="J19" s="682">
        <f>transport!I54</f>
        <v>0</v>
      </c>
      <c r="K19" s="682">
        <f>transport!J54</f>
        <v>0</v>
      </c>
      <c r="L19" s="682">
        <f>transport!K54</f>
        <v>0</v>
      </c>
      <c r="M19" s="682">
        <f>transport!L54</f>
        <v>0</v>
      </c>
      <c r="N19" s="682">
        <f>transport!M54</f>
        <v>259.13513856105754</v>
      </c>
      <c r="O19" s="682">
        <f>transport!N54</f>
        <v>0</v>
      </c>
      <c r="P19" s="682">
        <f>transport!O54</f>
        <v>0</v>
      </c>
      <c r="Q19" s="683">
        <f>transport!P54</f>
        <v>0</v>
      </c>
      <c r="R19" s="685">
        <f>SUM(C19:Q19)</f>
        <v>5017.7784238608474</v>
      </c>
      <c r="S19" s="67"/>
    </row>
    <row r="20" spans="1:19" s="445" customFormat="1">
      <c r="A20" s="803" t="s">
        <v>302</v>
      </c>
      <c r="B20" s="808"/>
      <c r="C20" s="682">
        <f>transport!B14</f>
        <v>424.02054512723265</v>
      </c>
      <c r="D20" s="682">
        <f>transport!C14</f>
        <v>0</v>
      </c>
      <c r="E20" s="682">
        <f>transport!D14</f>
        <v>751.64360180805897</v>
      </c>
      <c r="F20" s="682">
        <f>transport!E14</f>
        <v>432.57365870311173</v>
      </c>
      <c r="G20" s="682">
        <f>transport!F14</f>
        <v>0</v>
      </c>
      <c r="H20" s="682">
        <f>transport!G14</f>
        <v>211814.79108626279</v>
      </c>
      <c r="I20" s="682">
        <f>transport!H14</f>
        <v>46101.262248662264</v>
      </c>
      <c r="J20" s="682">
        <f>transport!I14</f>
        <v>0</v>
      </c>
      <c r="K20" s="682">
        <f>transport!J14</f>
        <v>0</v>
      </c>
      <c r="L20" s="682">
        <f>transport!K14</f>
        <v>0</v>
      </c>
      <c r="M20" s="682">
        <f>transport!L14</f>
        <v>0</v>
      </c>
      <c r="N20" s="682">
        <f>transport!M14</f>
        <v>15130.250076999255</v>
      </c>
      <c r="O20" s="682">
        <f>transport!N14</f>
        <v>0</v>
      </c>
      <c r="P20" s="682">
        <f>transport!O14</f>
        <v>0</v>
      </c>
      <c r="Q20" s="683">
        <f>transport!P14</f>
        <v>0</v>
      </c>
      <c r="R20" s="685">
        <f>SUM(C20:Q20)</f>
        <v>274654.54121756274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489.76746155900429</v>
      </c>
      <c r="D22" s="806">
        <f t="shared" ref="D22:R22" si="1">SUM(D18:D21)</f>
        <v>0</v>
      </c>
      <c r="E22" s="806">
        <f t="shared" si="1"/>
        <v>751.64360180805897</v>
      </c>
      <c r="F22" s="806">
        <f t="shared" si="1"/>
        <v>432.57365870311173</v>
      </c>
      <c r="G22" s="806">
        <f t="shared" si="1"/>
        <v>0</v>
      </c>
      <c r="H22" s="806">
        <f t="shared" si="1"/>
        <v>216507.6874551308</v>
      </c>
      <c r="I22" s="806">
        <f t="shared" si="1"/>
        <v>46101.262248662264</v>
      </c>
      <c r="J22" s="806">
        <f t="shared" si="1"/>
        <v>0</v>
      </c>
      <c r="K22" s="806">
        <f t="shared" si="1"/>
        <v>0</v>
      </c>
      <c r="L22" s="806">
        <f t="shared" si="1"/>
        <v>0</v>
      </c>
      <c r="M22" s="806">
        <f t="shared" si="1"/>
        <v>0</v>
      </c>
      <c r="N22" s="806">
        <f t="shared" si="1"/>
        <v>15389.385215560313</v>
      </c>
      <c r="O22" s="806">
        <f t="shared" si="1"/>
        <v>0</v>
      </c>
      <c r="P22" s="806">
        <f t="shared" si="1"/>
        <v>0</v>
      </c>
      <c r="Q22" s="806">
        <f t="shared" si="1"/>
        <v>0</v>
      </c>
      <c r="R22" s="806">
        <f t="shared" si="1"/>
        <v>279672.31964142359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3224.3886729258602</v>
      </c>
      <c r="D24" s="682">
        <f>+landbouw!C8</f>
        <v>0</v>
      </c>
      <c r="E24" s="682">
        <f>+landbouw!D8</f>
        <v>1905.9595741926303</v>
      </c>
      <c r="F24" s="682">
        <f>+landbouw!E8</f>
        <v>120.24731631479231</v>
      </c>
      <c r="G24" s="682">
        <f>+landbouw!F8</f>
        <v>10461.162807799228</v>
      </c>
      <c r="H24" s="682">
        <f>+landbouw!G8</f>
        <v>0</v>
      </c>
      <c r="I24" s="682">
        <f>+landbouw!H8</f>
        <v>0</v>
      </c>
      <c r="J24" s="682">
        <f>+landbouw!I8</f>
        <v>0</v>
      </c>
      <c r="K24" s="682">
        <f>+landbouw!J8</f>
        <v>846.41794515047911</v>
      </c>
      <c r="L24" s="682">
        <f>+landbouw!K8</f>
        <v>0</v>
      </c>
      <c r="M24" s="682">
        <f>+landbouw!L8</f>
        <v>0</v>
      </c>
      <c r="N24" s="682">
        <f>+landbouw!M8</f>
        <v>0</v>
      </c>
      <c r="O24" s="682">
        <f>+landbouw!N8</f>
        <v>0</v>
      </c>
      <c r="P24" s="682">
        <f>+landbouw!O8</f>
        <v>0</v>
      </c>
      <c r="Q24" s="683">
        <f>+landbouw!P8</f>
        <v>0</v>
      </c>
      <c r="R24" s="685">
        <f>SUM(C24:Q24)</f>
        <v>16558.176316382989</v>
      </c>
      <c r="S24" s="67"/>
    </row>
    <row r="25" spans="1:19" s="445" customFormat="1" ht="15" thickBot="1">
      <c r="A25" s="825" t="s">
        <v>703</v>
      </c>
      <c r="B25" s="938"/>
      <c r="C25" s="939">
        <f>IF(Onbekend_ele_kWh="---",0,Onbekend_ele_kWh)/1000+IF(REST_rest_ele_kWh="---",0,REST_rest_ele_kWh)/1000</f>
        <v>3661.9209626504498</v>
      </c>
      <c r="D25" s="939"/>
      <c r="E25" s="939">
        <f>IF(onbekend_gas_kWh="---",0,onbekend_gas_kWh)/1000+IF(REST_rest_gas_kWh="---",0,REST_rest_gas_kWh)/1000</f>
        <v>14421.149655311201</v>
      </c>
      <c r="F25" s="939"/>
      <c r="G25" s="939"/>
      <c r="H25" s="939"/>
      <c r="I25" s="939"/>
      <c r="J25" s="939"/>
      <c r="K25" s="939"/>
      <c r="L25" s="939"/>
      <c r="M25" s="939"/>
      <c r="N25" s="939"/>
      <c r="O25" s="939"/>
      <c r="P25" s="939"/>
      <c r="Q25" s="940"/>
      <c r="R25" s="685">
        <f>SUM(C25:Q25)</f>
        <v>18083.07061796165</v>
      </c>
      <c r="S25" s="67"/>
    </row>
    <row r="26" spans="1:19" s="445" customFormat="1" ht="15.75" thickBot="1">
      <c r="A26" s="690" t="s">
        <v>704</v>
      </c>
      <c r="B26" s="811"/>
      <c r="C26" s="806">
        <f>SUM(C24:C25)</f>
        <v>6886.30963557631</v>
      </c>
      <c r="D26" s="806">
        <f t="shared" ref="D26:R26" si="2">SUM(D24:D25)</f>
        <v>0</v>
      </c>
      <c r="E26" s="806">
        <f t="shared" si="2"/>
        <v>16327.109229503831</v>
      </c>
      <c r="F26" s="806">
        <f t="shared" si="2"/>
        <v>120.24731631479231</v>
      </c>
      <c r="G26" s="806">
        <f t="shared" si="2"/>
        <v>10461.162807799228</v>
      </c>
      <c r="H26" s="806">
        <f t="shared" si="2"/>
        <v>0</v>
      </c>
      <c r="I26" s="806">
        <f t="shared" si="2"/>
        <v>0</v>
      </c>
      <c r="J26" s="806">
        <f t="shared" si="2"/>
        <v>0</v>
      </c>
      <c r="K26" s="806">
        <f t="shared" si="2"/>
        <v>846.41794515047911</v>
      </c>
      <c r="L26" s="806">
        <f t="shared" si="2"/>
        <v>0</v>
      </c>
      <c r="M26" s="806">
        <f t="shared" si="2"/>
        <v>0</v>
      </c>
      <c r="N26" s="806">
        <f t="shared" si="2"/>
        <v>0</v>
      </c>
      <c r="O26" s="806">
        <f t="shared" si="2"/>
        <v>0</v>
      </c>
      <c r="P26" s="806">
        <f t="shared" si="2"/>
        <v>0</v>
      </c>
      <c r="Q26" s="806">
        <f t="shared" si="2"/>
        <v>0</v>
      </c>
      <c r="R26" s="806">
        <f t="shared" si="2"/>
        <v>34641.246934344643</v>
      </c>
      <c r="S26" s="67"/>
    </row>
    <row r="27" spans="1:19" s="445" customFormat="1" ht="17.25" thickTop="1" thickBot="1">
      <c r="A27" s="691" t="s">
        <v>115</v>
      </c>
      <c r="B27" s="798"/>
      <c r="C27" s="692">
        <f ca="1">C22+C16+C26</f>
        <v>513510.79961698101</v>
      </c>
      <c r="D27" s="692">
        <f t="shared" ref="D27:R27" ca="1" si="3">D22+D16+D26</f>
        <v>50355.000000000007</v>
      </c>
      <c r="E27" s="692">
        <f t="shared" ca="1" si="3"/>
        <v>738364.66390276328</v>
      </c>
      <c r="F27" s="692">
        <f t="shared" si="3"/>
        <v>6122.1525936076896</v>
      </c>
      <c r="G27" s="692">
        <f t="shared" ca="1" si="3"/>
        <v>145511.9102536829</v>
      </c>
      <c r="H27" s="692">
        <f t="shared" si="3"/>
        <v>216507.6874551308</v>
      </c>
      <c r="I27" s="692">
        <f t="shared" si="3"/>
        <v>46101.262248662264</v>
      </c>
      <c r="J27" s="692">
        <f t="shared" si="3"/>
        <v>0</v>
      </c>
      <c r="K27" s="692">
        <f t="shared" si="3"/>
        <v>1301.6090720152015</v>
      </c>
      <c r="L27" s="692">
        <f t="shared" si="3"/>
        <v>0</v>
      </c>
      <c r="M27" s="692">
        <f t="shared" ca="1" si="3"/>
        <v>0</v>
      </c>
      <c r="N27" s="692">
        <f t="shared" si="3"/>
        <v>15389.385215560313</v>
      </c>
      <c r="O27" s="692">
        <f t="shared" ca="1" si="3"/>
        <v>45334.535517458098</v>
      </c>
      <c r="P27" s="692">
        <f t="shared" si="3"/>
        <v>1693.9245106607666</v>
      </c>
      <c r="Q27" s="692">
        <f t="shared" si="3"/>
        <v>2947.9407073686452</v>
      </c>
      <c r="R27" s="692">
        <f t="shared" ca="1" si="3"/>
        <v>1783140.8710938911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36293.257978864385</v>
      </c>
      <c r="D40" s="682">
        <f ca="1">tertiair!C20</f>
        <v>3646.094766485684</v>
      </c>
      <c r="E40" s="682">
        <f ca="1">tertiair!D20</f>
        <v>33849.738983870106</v>
      </c>
      <c r="F40" s="682">
        <f>tertiair!E20</f>
        <v>103.24562491624643</v>
      </c>
      <c r="G40" s="682">
        <f ca="1">tertiair!F20</f>
        <v>6411.3299614515045</v>
      </c>
      <c r="H40" s="682">
        <f>tertiair!G20</f>
        <v>0</v>
      </c>
      <c r="I40" s="682">
        <f>tertiair!H20</f>
        <v>0</v>
      </c>
      <c r="J40" s="682">
        <f>tertiair!I20</f>
        <v>0</v>
      </c>
      <c r="K40" s="682">
        <f>tertiair!J20</f>
        <v>6.1192024605637156E-2</v>
      </c>
      <c r="L40" s="682">
        <f>tertiair!K20</f>
        <v>0</v>
      </c>
      <c r="M40" s="682">
        <f ca="1">tertiair!L20</f>
        <v>0</v>
      </c>
      <c r="N40" s="682">
        <f>tertiair!M20</f>
        <v>0</v>
      </c>
      <c r="O40" s="682">
        <f ca="1">tertiair!N20</f>
        <v>0</v>
      </c>
      <c r="P40" s="682">
        <f>tertiair!O20</f>
        <v>0</v>
      </c>
      <c r="Q40" s="765">
        <f>tertiair!P20</f>
        <v>0</v>
      </c>
      <c r="R40" s="844">
        <f t="shared" ca="1" si="4"/>
        <v>80303.728507612526</v>
      </c>
    </row>
    <row r="41" spans="1:18">
      <c r="A41" s="816" t="s">
        <v>220</v>
      </c>
      <c r="B41" s="823"/>
      <c r="C41" s="682">
        <f ca="1">huishoudens!B12</f>
        <v>17904.273849997586</v>
      </c>
      <c r="D41" s="682">
        <f ca="1">huishoudens!C12</f>
        <v>0</v>
      </c>
      <c r="E41" s="682">
        <f>huishoudens!D12</f>
        <v>53759.253248428715</v>
      </c>
      <c r="F41" s="682">
        <f>huishoudens!E12</f>
        <v>859.55958571291194</v>
      </c>
      <c r="G41" s="682">
        <f>huishoudens!F12</f>
        <v>22964.274561548664</v>
      </c>
      <c r="H41" s="682">
        <f>huishoudens!G12</f>
        <v>0</v>
      </c>
      <c r="I41" s="682">
        <f>huishoudens!H12</f>
        <v>0</v>
      </c>
      <c r="J41" s="682">
        <f>huishoudens!I12</f>
        <v>0</v>
      </c>
      <c r="K41" s="682">
        <f>huishoudens!J12</f>
        <v>152.32128259987036</v>
      </c>
      <c r="L41" s="682">
        <f>huishoudens!K12</f>
        <v>0</v>
      </c>
      <c r="M41" s="682">
        <f>huishoudens!L12</f>
        <v>0</v>
      </c>
      <c r="N41" s="682">
        <f>huishoudens!M12</f>
        <v>0</v>
      </c>
      <c r="O41" s="682">
        <f>huishoudens!N12</f>
        <v>0</v>
      </c>
      <c r="P41" s="682">
        <f>huishoudens!O12</f>
        <v>0</v>
      </c>
      <c r="Q41" s="765">
        <f>huishoudens!P12</f>
        <v>0</v>
      </c>
      <c r="R41" s="844">
        <f t="shared" ca="1" si="4"/>
        <v>95639.68252828774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41215.671727441433</v>
      </c>
      <c r="D43" s="682">
        <f ca="1">industrie!C22</f>
        <v>793.49178813616606</v>
      </c>
      <c r="E43" s="682">
        <f>industrie!D22</f>
        <v>58090.761804134374</v>
      </c>
      <c r="F43" s="682">
        <f>industrie!E22</f>
        <v>301.43306679072305</v>
      </c>
      <c r="G43" s="682">
        <f>industrie!F22</f>
        <v>6682.9450450507711</v>
      </c>
      <c r="H43" s="682">
        <f>industrie!G22</f>
        <v>0</v>
      </c>
      <c r="I43" s="682">
        <f>industrie!H22</f>
        <v>0</v>
      </c>
      <c r="J43" s="682">
        <f>industrie!I22</f>
        <v>0</v>
      </c>
      <c r="K43" s="682">
        <f>industrie!J22</f>
        <v>8.7551842856356732</v>
      </c>
      <c r="L43" s="682">
        <f>industrie!K22</f>
        <v>0</v>
      </c>
      <c r="M43" s="682">
        <f>industrie!L22</f>
        <v>0</v>
      </c>
      <c r="N43" s="682">
        <f>industrie!M22</f>
        <v>0</v>
      </c>
      <c r="O43" s="682">
        <f>industrie!N22</f>
        <v>0</v>
      </c>
      <c r="P43" s="682">
        <f>industrie!O22</f>
        <v>0</v>
      </c>
      <c r="Q43" s="765">
        <f>industrie!P22</f>
        <v>0</v>
      </c>
      <c r="R43" s="843">
        <f t="shared" ca="1" si="4"/>
        <v>107093.05861583909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95413.203556303401</v>
      </c>
      <c r="D46" s="718">
        <f t="shared" ref="D46:Q46" ca="1" si="5">SUM(D39:D45)</f>
        <v>4439.5865546218502</v>
      </c>
      <c r="E46" s="718">
        <f t="shared" ca="1" si="5"/>
        <v>145699.75403643321</v>
      </c>
      <c r="F46" s="718">
        <f t="shared" si="5"/>
        <v>1264.2382774198813</v>
      </c>
      <c r="G46" s="718">
        <f t="shared" ca="1" si="5"/>
        <v>36058.549568050941</v>
      </c>
      <c r="H46" s="718">
        <f t="shared" si="5"/>
        <v>0</v>
      </c>
      <c r="I46" s="718">
        <f t="shared" si="5"/>
        <v>0</v>
      </c>
      <c r="J46" s="718">
        <f t="shared" si="5"/>
        <v>0</v>
      </c>
      <c r="K46" s="718">
        <f t="shared" si="5"/>
        <v>161.13765891011167</v>
      </c>
      <c r="L46" s="718">
        <f t="shared" si="5"/>
        <v>0</v>
      </c>
      <c r="M46" s="718">
        <f t="shared" ca="1" si="5"/>
        <v>0</v>
      </c>
      <c r="N46" s="718">
        <f t="shared" si="5"/>
        <v>0</v>
      </c>
      <c r="O46" s="718">
        <f t="shared" ca="1" si="5"/>
        <v>0</v>
      </c>
      <c r="P46" s="718">
        <f t="shared" si="5"/>
        <v>0</v>
      </c>
      <c r="Q46" s="718">
        <f t="shared" si="5"/>
        <v>0</v>
      </c>
      <c r="R46" s="718">
        <f ca="1">SUM(R39:R45)</f>
        <v>283036.46965173935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12.394178153738352</v>
      </c>
      <c r="D49" s="682">
        <f ca="1">transport!C58</f>
        <v>0</v>
      </c>
      <c r="E49" s="682">
        <f>transport!D58</f>
        <v>0</v>
      </c>
      <c r="F49" s="682">
        <f>transport!E58</f>
        <v>0</v>
      </c>
      <c r="G49" s="682">
        <f>transport!F58</f>
        <v>0</v>
      </c>
      <c r="H49" s="682">
        <f>transport!G58</f>
        <v>1253.0033304877609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1265.3975086414991</v>
      </c>
    </row>
    <row r="50" spans="1:18">
      <c r="A50" s="819" t="s">
        <v>302</v>
      </c>
      <c r="B50" s="829"/>
      <c r="C50" s="688">
        <f ca="1">transport!B18</f>
        <v>79.933576544322236</v>
      </c>
      <c r="D50" s="688">
        <f>transport!C18</f>
        <v>0</v>
      </c>
      <c r="E50" s="688">
        <f>transport!D18</f>
        <v>151.83200756522791</v>
      </c>
      <c r="F50" s="688">
        <f>transport!E18</f>
        <v>98.194220525606369</v>
      </c>
      <c r="G50" s="688">
        <f>transport!F18</f>
        <v>0</v>
      </c>
      <c r="H50" s="688">
        <f>transport!G18</f>
        <v>56554.549220032168</v>
      </c>
      <c r="I50" s="688">
        <f>transport!H18</f>
        <v>11479.214299916905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68363.723324584222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92.327754698060588</v>
      </c>
      <c r="D52" s="718">
        <f t="shared" ref="D52:Q52" ca="1" si="6">SUM(D48:D51)</f>
        <v>0</v>
      </c>
      <c r="E52" s="718">
        <f t="shared" si="6"/>
        <v>151.83200756522791</v>
      </c>
      <c r="F52" s="718">
        <f t="shared" si="6"/>
        <v>98.194220525606369</v>
      </c>
      <c r="G52" s="718">
        <f t="shared" si="6"/>
        <v>0</v>
      </c>
      <c r="H52" s="718">
        <f t="shared" si="6"/>
        <v>57807.552550519926</v>
      </c>
      <c r="I52" s="718">
        <f t="shared" si="6"/>
        <v>11479.214299916905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69629.120833225723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607.840638284703</v>
      </c>
      <c r="D54" s="688">
        <f ca="1">+landbouw!C12</f>
        <v>0</v>
      </c>
      <c r="E54" s="688">
        <f>+landbouw!D12</f>
        <v>385.00383398691133</v>
      </c>
      <c r="F54" s="688">
        <f>+landbouw!E12</f>
        <v>27.296140803457856</v>
      </c>
      <c r="G54" s="688">
        <f>+landbouw!F12</f>
        <v>2793.1304696823941</v>
      </c>
      <c r="H54" s="688">
        <f>+landbouw!G12</f>
        <v>0</v>
      </c>
      <c r="I54" s="688">
        <f>+landbouw!H12</f>
        <v>0</v>
      </c>
      <c r="J54" s="688">
        <f>+landbouw!I12</f>
        <v>0</v>
      </c>
      <c r="K54" s="688">
        <f>+landbouw!J12</f>
        <v>299.63195258326959</v>
      </c>
      <c r="L54" s="688">
        <f>+landbouw!K12</f>
        <v>0</v>
      </c>
      <c r="M54" s="688">
        <f>+landbouw!L12</f>
        <v>0</v>
      </c>
      <c r="N54" s="688">
        <f>+landbouw!M12</f>
        <v>0</v>
      </c>
      <c r="O54" s="688">
        <f>+landbouw!N12</f>
        <v>0</v>
      </c>
      <c r="P54" s="688">
        <f>+landbouw!O12</f>
        <v>0</v>
      </c>
      <c r="Q54" s="689">
        <f>+landbouw!P12</f>
        <v>0</v>
      </c>
      <c r="R54" s="717">
        <f ca="1">SUM(C54:Q54)</f>
        <v>4112.9030353407361</v>
      </c>
    </row>
    <row r="55" spans="1:18" ht="15" thickBot="1">
      <c r="A55" s="819" t="s">
        <v>703</v>
      </c>
      <c r="B55" s="829"/>
      <c r="C55" s="688">
        <f ca="1">C25*'EF ele_warmte'!B12</f>
        <v>690.32136044126469</v>
      </c>
      <c r="D55" s="688"/>
      <c r="E55" s="688">
        <f>E25*EF_CO2_aardgas</f>
        <v>2913.0722303728626</v>
      </c>
      <c r="F55" s="688"/>
      <c r="G55" s="688"/>
      <c r="H55" s="688"/>
      <c r="I55" s="688"/>
      <c r="J55" s="688"/>
      <c r="K55" s="688"/>
      <c r="L55" s="688"/>
      <c r="M55" s="688"/>
      <c r="N55" s="688"/>
      <c r="O55" s="688"/>
      <c r="P55" s="688"/>
      <c r="Q55" s="689"/>
      <c r="R55" s="717">
        <f ca="1">SUM(C55:Q55)</f>
        <v>3603.3935908141275</v>
      </c>
    </row>
    <row r="56" spans="1:18" ht="15.75" thickBot="1">
      <c r="A56" s="817" t="s">
        <v>704</v>
      </c>
      <c r="B56" s="830"/>
      <c r="C56" s="718">
        <f ca="1">SUM(C54:C55)</f>
        <v>1298.1619987259678</v>
      </c>
      <c r="D56" s="718">
        <f t="shared" ref="D56:Q56" ca="1" si="7">SUM(D54:D55)</f>
        <v>0</v>
      </c>
      <c r="E56" s="718">
        <f t="shared" si="7"/>
        <v>3298.0760643597741</v>
      </c>
      <c r="F56" s="718">
        <f t="shared" si="7"/>
        <v>27.296140803457856</v>
      </c>
      <c r="G56" s="718">
        <f t="shared" si="7"/>
        <v>2793.1304696823941</v>
      </c>
      <c r="H56" s="718">
        <f t="shared" si="7"/>
        <v>0</v>
      </c>
      <c r="I56" s="718">
        <f t="shared" si="7"/>
        <v>0</v>
      </c>
      <c r="J56" s="718">
        <f t="shared" si="7"/>
        <v>0</v>
      </c>
      <c r="K56" s="718">
        <f t="shared" si="7"/>
        <v>299.63195258326959</v>
      </c>
      <c r="L56" s="718">
        <f t="shared" si="7"/>
        <v>0</v>
      </c>
      <c r="M56" s="718">
        <f t="shared" si="7"/>
        <v>0</v>
      </c>
      <c r="N56" s="718">
        <f t="shared" si="7"/>
        <v>0</v>
      </c>
      <c r="O56" s="718">
        <f t="shared" si="7"/>
        <v>0</v>
      </c>
      <c r="P56" s="718">
        <f t="shared" si="7"/>
        <v>0</v>
      </c>
      <c r="Q56" s="719">
        <f t="shared" si="7"/>
        <v>0</v>
      </c>
      <c r="R56" s="720">
        <f ca="1">SUM(R54:R55)</f>
        <v>7716.2966261548636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96803.693309727416</v>
      </c>
      <c r="D61" s="726">
        <f t="shared" ref="D61:Q61" ca="1" si="8">D46+D52+D56</f>
        <v>4439.5865546218502</v>
      </c>
      <c r="E61" s="726">
        <f t="shared" ca="1" si="8"/>
        <v>149149.6621083582</v>
      </c>
      <c r="F61" s="726">
        <f t="shared" si="8"/>
        <v>1389.7286387489455</v>
      </c>
      <c r="G61" s="726">
        <f t="shared" ca="1" si="8"/>
        <v>38851.680037733335</v>
      </c>
      <c r="H61" s="726">
        <f t="shared" si="8"/>
        <v>57807.552550519926</v>
      </c>
      <c r="I61" s="726">
        <f t="shared" si="8"/>
        <v>11479.214299916905</v>
      </c>
      <c r="J61" s="726">
        <f t="shared" si="8"/>
        <v>0</v>
      </c>
      <c r="K61" s="726">
        <f t="shared" si="8"/>
        <v>460.76961149338126</v>
      </c>
      <c r="L61" s="726">
        <f t="shared" si="8"/>
        <v>0</v>
      </c>
      <c r="M61" s="726">
        <f t="shared" ca="1" si="8"/>
        <v>0</v>
      </c>
      <c r="N61" s="726">
        <f t="shared" si="8"/>
        <v>0</v>
      </c>
      <c r="O61" s="726">
        <f t="shared" ca="1" si="8"/>
        <v>0</v>
      </c>
      <c r="P61" s="726">
        <f t="shared" si="8"/>
        <v>0</v>
      </c>
      <c r="Q61" s="726">
        <f t="shared" si="8"/>
        <v>0</v>
      </c>
      <c r="R61" s="726">
        <f ca="1">R46+R52+R56</f>
        <v>360381.88711111993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0.18851345167800101</v>
      </c>
      <c r="D63" s="772">
        <f t="shared" ca="1" si="9"/>
        <v>8.816575423735179E-2</v>
      </c>
      <c r="E63" s="964">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23313.407664126065</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30845.669231171043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22171.500000000004</v>
      </c>
      <c r="C76" s="739">
        <f>'lokale energieproductie'!B8*IFERROR(SUM(D76:H76)/SUM(D76:O76),0)</f>
        <v>13077</v>
      </c>
      <c r="D76" s="947">
        <f>'lokale energieproductie'!C8</f>
        <v>15384.705882352941</v>
      </c>
      <c r="E76" s="948">
        <f>'lokale energieproductie'!D8</f>
        <v>0</v>
      </c>
      <c r="F76" s="948">
        <f>'lokale energieproductie'!E8</f>
        <v>0</v>
      </c>
      <c r="G76" s="948">
        <f>'lokale energieproductie'!F8</f>
        <v>0</v>
      </c>
      <c r="H76" s="948">
        <f>'lokale energieproductie'!G8</f>
        <v>0</v>
      </c>
      <c r="I76" s="948">
        <f>'lokale energieproductie'!I8</f>
        <v>0</v>
      </c>
      <c r="J76" s="948">
        <f>'lokale energieproductie'!J8</f>
        <v>26084.117647058825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3107.7105882352944</v>
      </c>
      <c r="R76" s="846">
        <v>0</v>
      </c>
    </row>
    <row r="77" spans="1:18" ht="15.75" thickBot="1">
      <c r="A77" s="742" t="s">
        <v>749</v>
      </c>
      <c r="B77" s="739">
        <f>'lokale energieproductie'!B9*IFERROR(SUM(I77:O77)/SUM(D77:O77),0)</f>
        <v>139.5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398.57142857142861</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76470.076895297112</v>
      </c>
      <c r="C78" s="744">
        <f>SUM(C72:C77)</f>
        <v>13077</v>
      </c>
      <c r="D78" s="745">
        <f t="shared" ref="D78:H78" si="10">SUM(D76:D77)</f>
        <v>15384.705882352941</v>
      </c>
      <c r="E78" s="745">
        <f t="shared" si="10"/>
        <v>0</v>
      </c>
      <c r="F78" s="745">
        <f t="shared" si="10"/>
        <v>0</v>
      </c>
      <c r="G78" s="745">
        <f t="shared" si="10"/>
        <v>0</v>
      </c>
      <c r="H78" s="745">
        <f t="shared" si="10"/>
        <v>0</v>
      </c>
      <c r="I78" s="745">
        <f>SUM(I76:I77)</f>
        <v>0</v>
      </c>
      <c r="J78" s="745">
        <f>SUM(J76:J77)</f>
        <v>26482.689075630253</v>
      </c>
      <c r="K78" s="745">
        <f t="shared" ref="K78:L78" si="11">SUM(K76:K77)</f>
        <v>0</v>
      </c>
      <c r="L78" s="745">
        <f t="shared" si="11"/>
        <v>0</v>
      </c>
      <c r="M78" s="745">
        <f>SUM(M76:M77)</f>
        <v>0</v>
      </c>
      <c r="N78" s="745">
        <f>SUM(N76:N77)</f>
        <v>0</v>
      </c>
      <c r="O78" s="854">
        <f>SUM(O76:O77)</f>
        <v>0</v>
      </c>
      <c r="P78" s="746">
        <v>0</v>
      </c>
      <c r="Q78" s="746">
        <f>SUM(Q76:Q77)</f>
        <v>3107.7105882352944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31673.571428571431</v>
      </c>
      <c r="C87" s="757">
        <f>'lokale energieproductie'!B17*IFERROR(SUM(D87:H87)/SUM(D87:O87),0)</f>
        <v>18681.428571428572</v>
      </c>
      <c r="D87" s="768">
        <f>'lokale energieproductie'!C17</f>
        <v>21978.151260504208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37263.025210084044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4439.5865546218502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31673.571428571431</v>
      </c>
      <c r="C90" s="744">
        <f>SUM(C87:C89)</f>
        <v>18681.428571428572</v>
      </c>
      <c r="D90" s="744">
        <f t="shared" ref="D90:H90" si="12">SUM(D87:D89)</f>
        <v>21978.151260504208</v>
      </c>
      <c r="E90" s="744">
        <f t="shared" si="12"/>
        <v>0</v>
      </c>
      <c r="F90" s="744">
        <f t="shared" si="12"/>
        <v>0</v>
      </c>
      <c r="G90" s="744">
        <f t="shared" si="12"/>
        <v>0</v>
      </c>
      <c r="H90" s="744">
        <f t="shared" si="12"/>
        <v>0</v>
      </c>
      <c r="I90" s="744">
        <f>SUM(I87:I89)</f>
        <v>0</v>
      </c>
      <c r="J90" s="744">
        <f>SUM(J87:J89)</f>
        <v>37263.025210084044</v>
      </c>
      <c r="K90" s="744">
        <f t="shared" ref="K90:L90" si="13">SUM(K87:K89)</f>
        <v>0</v>
      </c>
      <c r="L90" s="744">
        <f t="shared" si="13"/>
        <v>0</v>
      </c>
      <c r="M90" s="744">
        <f>SUM(M87:M89)</f>
        <v>0</v>
      </c>
      <c r="N90" s="744">
        <f>SUM(N87:N89)</f>
        <v>0</v>
      </c>
      <c r="O90" s="744">
        <f>SUM(O87:O89)</f>
        <v>0</v>
      </c>
      <c r="P90" s="744">
        <v>0</v>
      </c>
      <c r="Q90" s="744">
        <f>SUM(Q87:Q89)</f>
        <v>4439.5865546218502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94976.10749061979</v>
      </c>
      <c r="C4" s="449">
        <f>huishoudens!C8</f>
        <v>0</v>
      </c>
      <c r="D4" s="449">
        <f>huishoudens!D8</f>
        <v>266134.91707142926</v>
      </c>
      <c r="E4" s="449">
        <f>huishoudens!E8</f>
        <v>3786.606104462167</v>
      </c>
      <c r="F4" s="449">
        <f>huishoudens!F8</f>
        <v>86008.518957111097</v>
      </c>
      <c r="G4" s="449">
        <f>huishoudens!G8</f>
        <v>0</v>
      </c>
      <c r="H4" s="449">
        <f>huishoudens!H8</f>
        <v>0</v>
      </c>
      <c r="I4" s="449">
        <f>huishoudens!I8</f>
        <v>0</v>
      </c>
      <c r="J4" s="449">
        <f>huishoudens!J8</f>
        <v>430.28610903918184</v>
      </c>
      <c r="K4" s="449">
        <f>huishoudens!K8</f>
        <v>0</v>
      </c>
      <c r="L4" s="449">
        <f>huishoudens!L8</f>
        <v>0</v>
      </c>
      <c r="M4" s="449">
        <f>huishoudens!M8</f>
        <v>0</v>
      </c>
      <c r="N4" s="449">
        <f>huishoudens!N8</f>
        <v>35065.091758427916</v>
      </c>
      <c r="O4" s="449">
        <f>huishoudens!O8</f>
        <v>1664.5409460657197</v>
      </c>
      <c r="P4" s="450">
        <f>huishoudens!P8</f>
        <v>2317.4710476907053</v>
      </c>
      <c r="Q4" s="451">
        <f>SUM(B4:P4)</f>
        <v>490383.53948484594</v>
      </c>
    </row>
    <row r="5" spans="1:17">
      <c r="A5" s="448" t="s">
        <v>155</v>
      </c>
      <c r="B5" s="449">
        <f ca="1">tertiair!B16</f>
        <v>187421.11080932556</v>
      </c>
      <c r="C5" s="449">
        <f ca="1">tertiair!C16</f>
        <v>41355.000000000007</v>
      </c>
      <c r="D5" s="449">
        <f ca="1">tertiair!D16</f>
        <v>167572.96526668366</v>
      </c>
      <c r="E5" s="449">
        <f>tertiair!E16</f>
        <v>454.82654148126176</v>
      </c>
      <c r="F5" s="449">
        <f ca="1">tertiair!F16</f>
        <v>24012.471765735969</v>
      </c>
      <c r="G5" s="449">
        <f>tertiair!G16</f>
        <v>0</v>
      </c>
      <c r="H5" s="449">
        <f>tertiair!H16</f>
        <v>0</v>
      </c>
      <c r="I5" s="449">
        <f>tertiair!I16</f>
        <v>0</v>
      </c>
      <c r="J5" s="449">
        <f>tertiair!J16</f>
        <v>0.1728588265695965</v>
      </c>
      <c r="K5" s="449">
        <f>tertiair!K16</f>
        <v>0</v>
      </c>
      <c r="L5" s="449">
        <f ca="1">tertiair!L16</f>
        <v>0</v>
      </c>
      <c r="M5" s="449">
        <f>tertiair!M16</f>
        <v>0</v>
      </c>
      <c r="N5" s="449">
        <f ca="1">tertiair!N16</f>
        <v>0</v>
      </c>
      <c r="O5" s="449">
        <f>tertiair!O16</f>
        <v>29.383564595046927</v>
      </c>
      <c r="P5" s="450">
        <f>tertiair!P16</f>
        <v>630.46965967794017</v>
      </c>
      <c r="Q5" s="448">
        <f t="shared" ref="Q5:Q14" ca="1" si="0">SUM(B5:P5)</f>
        <v>421476.40046632598</v>
      </c>
    </row>
    <row r="6" spans="1:17">
      <c r="A6" s="448" t="s">
        <v>193</v>
      </c>
      <c r="B6" s="449">
        <f>'openbare verlichting'!B8</f>
        <v>5102.3280000000004</v>
      </c>
      <c r="C6" s="449"/>
      <c r="D6" s="449"/>
      <c r="E6" s="449"/>
      <c r="F6" s="449"/>
      <c r="G6" s="449"/>
      <c r="H6" s="449"/>
      <c r="I6" s="449"/>
      <c r="J6" s="449"/>
      <c r="K6" s="449"/>
      <c r="L6" s="449"/>
      <c r="M6" s="449"/>
      <c r="N6" s="449"/>
      <c r="O6" s="449"/>
      <c r="P6" s="450"/>
      <c r="Q6" s="448">
        <f t="shared" si="0"/>
        <v>5102.3280000000004</v>
      </c>
    </row>
    <row r="7" spans="1:17">
      <c r="A7" s="448" t="s">
        <v>111</v>
      </c>
      <c r="B7" s="449">
        <f>landbouw!B8</f>
        <v>3224.3886729258602</v>
      </c>
      <c r="C7" s="449">
        <f>landbouw!C8</f>
        <v>0</v>
      </c>
      <c r="D7" s="449">
        <f>landbouw!D8</f>
        <v>1905.9595741926303</v>
      </c>
      <c r="E7" s="449">
        <f>landbouw!E8</f>
        <v>120.24731631479231</v>
      </c>
      <c r="F7" s="449">
        <f>landbouw!F8</f>
        <v>10461.162807799228</v>
      </c>
      <c r="G7" s="449">
        <f>landbouw!G8</f>
        <v>0</v>
      </c>
      <c r="H7" s="449">
        <f>landbouw!H8</f>
        <v>0</v>
      </c>
      <c r="I7" s="449">
        <f>landbouw!I8</f>
        <v>0</v>
      </c>
      <c r="J7" s="449">
        <f>landbouw!J8</f>
        <v>846.41794515047911</v>
      </c>
      <c r="K7" s="449">
        <f>landbouw!K8</f>
        <v>0</v>
      </c>
      <c r="L7" s="449">
        <f>landbouw!L8</f>
        <v>0</v>
      </c>
      <c r="M7" s="449">
        <f>landbouw!M8</f>
        <v>0</v>
      </c>
      <c r="N7" s="449">
        <f>landbouw!N8</f>
        <v>0</v>
      </c>
      <c r="O7" s="449">
        <f>landbouw!O8</f>
        <v>0</v>
      </c>
      <c r="P7" s="450">
        <f>landbouw!P8</f>
        <v>0</v>
      </c>
      <c r="Q7" s="448">
        <f t="shared" si="0"/>
        <v>16558.176316382989</v>
      </c>
    </row>
    <row r="8" spans="1:17">
      <c r="A8" s="448" t="s">
        <v>618</v>
      </c>
      <c r="B8" s="449">
        <f>industrie!B18</f>
        <v>218635.17621990037</v>
      </c>
      <c r="C8" s="449">
        <f>industrie!C18</f>
        <v>9000</v>
      </c>
      <c r="D8" s="449">
        <f>industrie!D18</f>
        <v>287578.02873333846</v>
      </c>
      <c r="E8" s="449">
        <f>industrie!E18</f>
        <v>1327.8989726463569</v>
      </c>
      <c r="F8" s="449">
        <f>industrie!F18</f>
        <v>25029.756723036593</v>
      </c>
      <c r="G8" s="449">
        <f>industrie!G18</f>
        <v>0</v>
      </c>
      <c r="H8" s="449">
        <f>industrie!H18</f>
        <v>0</v>
      </c>
      <c r="I8" s="449">
        <f>industrie!I18</f>
        <v>0</v>
      </c>
      <c r="J8" s="449">
        <f>industrie!J18</f>
        <v>24.732158998970831</v>
      </c>
      <c r="K8" s="449">
        <f>industrie!K18</f>
        <v>0</v>
      </c>
      <c r="L8" s="449">
        <f>industrie!L18</f>
        <v>0</v>
      </c>
      <c r="M8" s="449">
        <f>industrie!M18</f>
        <v>0</v>
      </c>
      <c r="N8" s="449">
        <f>industrie!N18</f>
        <v>10269.443759030182</v>
      </c>
      <c r="O8" s="449">
        <f>industrie!O18</f>
        <v>0</v>
      </c>
      <c r="P8" s="450">
        <f>industrie!P18</f>
        <v>0</v>
      </c>
      <c r="Q8" s="448">
        <f t="shared" si="0"/>
        <v>551865.03656695096</v>
      </c>
    </row>
    <row r="9" spans="1:17" s="454" customFormat="1">
      <c r="A9" s="452" t="s">
        <v>544</v>
      </c>
      <c r="B9" s="453">
        <f>transport!B14</f>
        <v>424.02054512723265</v>
      </c>
      <c r="C9" s="453">
        <f>transport!C14</f>
        <v>0</v>
      </c>
      <c r="D9" s="453">
        <f>transport!D14</f>
        <v>751.64360180805897</v>
      </c>
      <c r="E9" s="453">
        <f>transport!E14</f>
        <v>432.57365870311173</v>
      </c>
      <c r="F9" s="453">
        <f>transport!F14</f>
        <v>0</v>
      </c>
      <c r="G9" s="453">
        <f>transport!G14</f>
        <v>211814.79108626279</v>
      </c>
      <c r="H9" s="453">
        <f>transport!H14</f>
        <v>46101.262248662264</v>
      </c>
      <c r="I9" s="453">
        <f>transport!I14</f>
        <v>0</v>
      </c>
      <c r="J9" s="453">
        <f>transport!J14</f>
        <v>0</v>
      </c>
      <c r="K9" s="453">
        <f>transport!K14</f>
        <v>0</v>
      </c>
      <c r="L9" s="453">
        <f>transport!L14</f>
        <v>0</v>
      </c>
      <c r="M9" s="453">
        <f>transport!M14</f>
        <v>15130.250076999255</v>
      </c>
      <c r="N9" s="453">
        <f>transport!N14</f>
        <v>0</v>
      </c>
      <c r="O9" s="453">
        <f>transport!O14</f>
        <v>0</v>
      </c>
      <c r="P9" s="453">
        <f>transport!P14</f>
        <v>0</v>
      </c>
      <c r="Q9" s="452">
        <f>SUM(B9:P9)</f>
        <v>274654.54121756274</v>
      </c>
    </row>
    <row r="10" spans="1:17">
      <c r="A10" s="448" t="s">
        <v>534</v>
      </c>
      <c r="B10" s="449">
        <f>transport!B54</f>
        <v>65.746916431771623</v>
      </c>
      <c r="C10" s="449">
        <f>transport!C54</f>
        <v>0</v>
      </c>
      <c r="D10" s="449">
        <f>transport!D54</f>
        <v>0</v>
      </c>
      <c r="E10" s="449">
        <f>transport!E54</f>
        <v>0</v>
      </c>
      <c r="F10" s="449">
        <f>transport!F54</f>
        <v>0</v>
      </c>
      <c r="G10" s="449">
        <f>transport!G54</f>
        <v>4692.8963688680178</v>
      </c>
      <c r="H10" s="449">
        <f>transport!H54</f>
        <v>0</v>
      </c>
      <c r="I10" s="449">
        <f>transport!I54</f>
        <v>0</v>
      </c>
      <c r="J10" s="449">
        <f>transport!J54</f>
        <v>0</v>
      </c>
      <c r="K10" s="449">
        <f>transport!K54</f>
        <v>0</v>
      </c>
      <c r="L10" s="449">
        <f>transport!L54</f>
        <v>0</v>
      </c>
      <c r="M10" s="449">
        <f>transport!M54</f>
        <v>259.13513856105754</v>
      </c>
      <c r="N10" s="449">
        <f>transport!N54</f>
        <v>0</v>
      </c>
      <c r="O10" s="449">
        <f>transport!O54</f>
        <v>0</v>
      </c>
      <c r="P10" s="450">
        <f>transport!P54</f>
        <v>0</v>
      </c>
      <c r="Q10" s="448">
        <f t="shared" si="0"/>
        <v>5017.7784238608474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3661.9209626504498</v>
      </c>
      <c r="C14" s="456"/>
      <c r="D14" s="456">
        <f>'SEAP template'!E25</f>
        <v>14421.149655311201</v>
      </c>
      <c r="E14" s="456"/>
      <c r="F14" s="456"/>
      <c r="G14" s="456"/>
      <c r="H14" s="456"/>
      <c r="I14" s="456"/>
      <c r="J14" s="456"/>
      <c r="K14" s="456"/>
      <c r="L14" s="456"/>
      <c r="M14" s="456"/>
      <c r="N14" s="456"/>
      <c r="O14" s="456"/>
      <c r="P14" s="457"/>
      <c r="Q14" s="448">
        <f t="shared" si="0"/>
        <v>18083.07061796165</v>
      </c>
    </row>
    <row r="15" spans="1:17" s="460" customFormat="1">
      <c r="A15" s="458" t="s">
        <v>538</v>
      </c>
      <c r="B15" s="459">
        <f ca="1">SUM(B4:B14)</f>
        <v>513510.79961698101</v>
      </c>
      <c r="C15" s="459">
        <f t="shared" ref="C15:Q15" ca="1" si="1">SUM(C4:C14)</f>
        <v>50355.000000000007</v>
      </c>
      <c r="D15" s="459">
        <f t="shared" ca="1" si="1"/>
        <v>738364.66390276339</v>
      </c>
      <c r="E15" s="459">
        <f t="shared" si="1"/>
        <v>6122.1525936076896</v>
      </c>
      <c r="F15" s="459">
        <f t="shared" ca="1" si="1"/>
        <v>145511.91025368287</v>
      </c>
      <c r="G15" s="459">
        <f t="shared" si="1"/>
        <v>216507.6874551308</v>
      </c>
      <c r="H15" s="459">
        <f t="shared" si="1"/>
        <v>46101.262248662264</v>
      </c>
      <c r="I15" s="459">
        <f t="shared" si="1"/>
        <v>0</v>
      </c>
      <c r="J15" s="459">
        <f t="shared" si="1"/>
        <v>1301.6090720152013</v>
      </c>
      <c r="K15" s="459">
        <f t="shared" si="1"/>
        <v>0</v>
      </c>
      <c r="L15" s="459">
        <f t="shared" ca="1" si="1"/>
        <v>0</v>
      </c>
      <c r="M15" s="459">
        <f t="shared" si="1"/>
        <v>15389.385215560313</v>
      </c>
      <c r="N15" s="459">
        <f t="shared" ca="1" si="1"/>
        <v>45334.535517458098</v>
      </c>
      <c r="O15" s="459">
        <f t="shared" si="1"/>
        <v>1693.9245106607666</v>
      </c>
      <c r="P15" s="459">
        <f t="shared" si="1"/>
        <v>2947.9407073686452</v>
      </c>
      <c r="Q15" s="459">
        <f t="shared" ca="1" si="1"/>
        <v>1783140.8710938911</v>
      </c>
    </row>
    <row r="17" spans="1:17">
      <c r="A17" s="461" t="s">
        <v>539</v>
      </c>
      <c r="B17" s="777">
        <f ca="1">huishoudens!B10</f>
        <v>0.18851345167800104</v>
      </c>
      <c r="C17" s="777">
        <f ca="1">huishoudens!C10</f>
        <v>8.816575423735179E-2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17904.273849997586</v>
      </c>
      <c r="C22" s="449">
        <f t="shared" ref="C22:C32" ca="1" si="3">C4*$C$17</f>
        <v>0</v>
      </c>
      <c r="D22" s="449">
        <f t="shared" ref="D22:D32" si="4">D4*$D$17</f>
        <v>53759.253248428715</v>
      </c>
      <c r="E22" s="449">
        <f t="shared" ref="E22:E32" si="5">E4*$E$17</f>
        <v>859.55958571291194</v>
      </c>
      <c r="F22" s="449">
        <f t="shared" ref="F22:F32" si="6">F4*$F$17</f>
        <v>22964.274561548664</v>
      </c>
      <c r="G22" s="449">
        <f t="shared" ref="G22:G32" si="7">G4*$G$17</f>
        <v>0</v>
      </c>
      <c r="H22" s="449">
        <f t="shared" ref="H22:H32" si="8">H4*$H$17</f>
        <v>0</v>
      </c>
      <c r="I22" s="449">
        <f t="shared" ref="I22:I32" si="9">I4*$I$17</f>
        <v>0</v>
      </c>
      <c r="J22" s="449">
        <f t="shared" ref="J22:J32" si="10">J4*$J$17</f>
        <v>152.32128259987036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95639.68252828774</v>
      </c>
    </row>
    <row r="23" spans="1:17">
      <c r="A23" s="448" t="s">
        <v>155</v>
      </c>
      <c r="B23" s="449">
        <f t="shared" ca="1" si="2"/>
        <v>35331.400515991074</v>
      </c>
      <c r="C23" s="449">
        <f t="shared" ca="1" si="3"/>
        <v>3646.094766485684</v>
      </c>
      <c r="D23" s="449">
        <f t="shared" ca="1" si="4"/>
        <v>33849.738983870106</v>
      </c>
      <c r="E23" s="449">
        <f t="shared" si="5"/>
        <v>103.24562491624643</v>
      </c>
      <c r="F23" s="449">
        <f t="shared" ca="1" si="6"/>
        <v>6411.3299614515045</v>
      </c>
      <c r="G23" s="449">
        <f t="shared" si="7"/>
        <v>0</v>
      </c>
      <c r="H23" s="449">
        <f t="shared" si="8"/>
        <v>0</v>
      </c>
      <c r="I23" s="449">
        <f t="shared" si="9"/>
        <v>0</v>
      </c>
      <c r="J23" s="449">
        <f t="shared" si="10"/>
        <v>6.1192024605637156E-2</v>
      </c>
      <c r="K23" s="449">
        <f t="shared" si="11"/>
        <v>0</v>
      </c>
      <c r="L23" s="449">
        <f t="shared" ca="1" si="12"/>
        <v>0</v>
      </c>
      <c r="M23" s="449">
        <f t="shared" si="13"/>
        <v>0</v>
      </c>
      <c r="N23" s="449">
        <f t="shared" ca="1" si="14"/>
        <v>0</v>
      </c>
      <c r="O23" s="449">
        <f t="shared" si="15"/>
        <v>0</v>
      </c>
      <c r="P23" s="450">
        <f t="shared" si="16"/>
        <v>0</v>
      </c>
      <c r="Q23" s="448">
        <f t="shared" ref="Q23:Q31" ca="1" si="17">SUM(B23:P23)</f>
        <v>79341.871044739222</v>
      </c>
    </row>
    <row r="24" spans="1:17">
      <c r="A24" s="448" t="s">
        <v>193</v>
      </c>
      <c r="B24" s="449">
        <f t="shared" ca="1" si="2"/>
        <v>961.85746287331176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961.85746287331176</v>
      </c>
    </row>
    <row r="25" spans="1:17">
      <c r="A25" s="448" t="s">
        <v>111</v>
      </c>
      <c r="B25" s="449">
        <f t="shared" ca="1" si="2"/>
        <v>607.840638284703</v>
      </c>
      <c r="C25" s="449">
        <f t="shared" ca="1" si="3"/>
        <v>0</v>
      </c>
      <c r="D25" s="449">
        <f t="shared" si="4"/>
        <v>385.00383398691133</v>
      </c>
      <c r="E25" s="449">
        <f t="shared" si="5"/>
        <v>27.296140803457856</v>
      </c>
      <c r="F25" s="449">
        <f t="shared" si="6"/>
        <v>2793.1304696823941</v>
      </c>
      <c r="G25" s="449">
        <f t="shared" si="7"/>
        <v>0</v>
      </c>
      <c r="H25" s="449">
        <f t="shared" si="8"/>
        <v>0</v>
      </c>
      <c r="I25" s="449">
        <f t="shared" si="9"/>
        <v>0</v>
      </c>
      <c r="J25" s="449">
        <f t="shared" si="10"/>
        <v>299.63195258326959</v>
      </c>
      <c r="K25" s="449">
        <f t="shared" si="11"/>
        <v>0</v>
      </c>
      <c r="L25" s="449">
        <f t="shared" si="12"/>
        <v>0</v>
      </c>
      <c r="M25" s="449">
        <f t="shared" si="13"/>
        <v>0</v>
      </c>
      <c r="N25" s="449">
        <f t="shared" si="14"/>
        <v>0</v>
      </c>
      <c r="O25" s="449">
        <f t="shared" si="15"/>
        <v>0</v>
      </c>
      <c r="P25" s="450">
        <f t="shared" si="16"/>
        <v>0</v>
      </c>
      <c r="Q25" s="448">
        <f t="shared" ca="1" si="17"/>
        <v>4112.9030353407361</v>
      </c>
    </row>
    <row r="26" spans="1:17">
      <c r="A26" s="448" t="s">
        <v>618</v>
      </c>
      <c r="B26" s="449">
        <f t="shared" ca="1" si="2"/>
        <v>41215.671727441433</v>
      </c>
      <c r="C26" s="449">
        <f t="shared" ca="1" si="3"/>
        <v>793.49178813616606</v>
      </c>
      <c r="D26" s="449">
        <f t="shared" si="4"/>
        <v>58090.761804134374</v>
      </c>
      <c r="E26" s="449">
        <f t="shared" si="5"/>
        <v>301.43306679072305</v>
      </c>
      <c r="F26" s="449">
        <f t="shared" si="6"/>
        <v>6682.9450450507711</v>
      </c>
      <c r="G26" s="449">
        <f t="shared" si="7"/>
        <v>0</v>
      </c>
      <c r="H26" s="449">
        <f t="shared" si="8"/>
        <v>0</v>
      </c>
      <c r="I26" s="449">
        <f t="shared" si="9"/>
        <v>0</v>
      </c>
      <c r="J26" s="449">
        <f t="shared" si="10"/>
        <v>8.7551842856356732</v>
      </c>
      <c r="K26" s="449">
        <f t="shared" si="11"/>
        <v>0</v>
      </c>
      <c r="L26" s="449">
        <f t="shared" si="12"/>
        <v>0</v>
      </c>
      <c r="M26" s="449">
        <f t="shared" si="13"/>
        <v>0</v>
      </c>
      <c r="N26" s="449">
        <f t="shared" si="14"/>
        <v>0</v>
      </c>
      <c r="O26" s="449">
        <f t="shared" si="15"/>
        <v>0</v>
      </c>
      <c r="P26" s="450">
        <f t="shared" si="16"/>
        <v>0</v>
      </c>
      <c r="Q26" s="448">
        <f t="shared" ca="1" si="17"/>
        <v>107093.05861583909</v>
      </c>
    </row>
    <row r="27" spans="1:17" s="454" customFormat="1">
      <c r="A27" s="452" t="s">
        <v>544</v>
      </c>
      <c r="B27" s="771">
        <f t="shared" ca="1" si="2"/>
        <v>79.933576544322236</v>
      </c>
      <c r="C27" s="453">
        <f t="shared" ca="1" si="3"/>
        <v>0</v>
      </c>
      <c r="D27" s="453">
        <f t="shared" si="4"/>
        <v>151.83200756522791</v>
      </c>
      <c r="E27" s="453">
        <f t="shared" si="5"/>
        <v>98.194220525606369</v>
      </c>
      <c r="F27" s="453">
        <f t="shared" si="6"/>
        <v>0</v>
      </c>
      <c r="G27" s="453">
        <f t="shared" si="7"/>
        <v>56554.549220032168</v>
      </c>
      <c r="H27" s="453">
        <f t="shared" si="8"/>
        <v>11479.214299916905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68363.723324584222</v>
      </c>
    </row>
    <row r="28" spans="1:17" ht="16.5" customHeight="1">
      <c r="A28" s="448" t="s">
        <v>534</v>
      </c>
      <c r="B28" s="449">
        <f t="shared" ca="1" si="2"/>
        <v>12.394178153738352</v>
      </c>
      <c r="C28" s="449">
        <f t="shared" ca="1" si="3"/>
        <v>0</v>
      </c>
      <c r="D28" s="449">
        <f t="shared" si="4"/>
        <v>0</v>
      </c>
      <c r="E28" s="449">
        <f t="shared" si="5"/>
        <v>0</v>
      </c>
      <c r="F28" s="449">
        <f t="shared" si="6"/>
        <v>0</v>
      </c>
      <c r="G28" s="449">
        <f t="shared" si="7"/>
        <v>1253.0033304877609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1265.3975086414991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690.32136044126469</v>
      </c>
      <c r="C32" s="449">
        <f t="shared" ca="1" si="3"/>
        <v>0</v>
      </c>
      <c r="D32" s="449">
        <f t="shared" si="4"/>
        <v>2913.0722303728626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3603.3935908141275</v>
      </c>
    </row>
    <row r="33" spans="1:17" s="460" customFormat="1">
      <c r="A33" s="458" t="s">
        <v>538</v>
      </c>
      <c r="B33" s="459">
        <f ca="1">SUM(B22:B32)</f>
        <v>96803.69330972743</v>
      </c>
      <c r="C33" s="459">
        <f t="shared" ref="C33:Q33" ca="1" si="19">SUM(C22:C32)</f>
        <v>4439.5865546218502</v>
      </c>
      <c r="D33" s="459">
        <f t="shared" ca="1" si="19"/>
        <v>149149.6621083582</v>
      </c>
      <c r="E33" s="459">
        <f t="shared" si="19"/>
        <v>1389.7286387489457</v>
      </c>
      <c r="F33" s="459">
        <f t="shared" ca="1" si="19"/>
        <v>38851.680037733335</v>
      </c>
      <c r="G33" s="459">
        <f t="shared" si="19"/>
        <v>57807.552550519926</v>
      </c>
      <c r="H33" s="459">
        <f t="shared" si="19"/>
        <v>11479.214299916905</v>
      </c>
      <c r="I33" s="459">
        <f t="shared" si="19"/>
        <v>0</v>
      </c>
      <c r="J33" s="459">
        <f t="shared" si="19"/>
        <v>460.76961149338126</v>
      </c>
      <c r="K33" s="459">
        <f t="shared" si="19"/>
        <v>0</v>
      </c>
      <c r="L33" s="459">
        <f t="shared" ca="1" si="19"/>
        <v>0</v>
      </c>
      <c r="M33" s="459">
        <f t="shared" si="19"/>
        <v>0</v>
      </c>
      <c r="N33" s="459">
        <f t="shared" ca="1" si="19"/>
        <v>0</v>
      </c>
      <c r="O33" s="459">
        <f t="shared" si="19"/>
        <v>0</v>
      </c>
      <c r="P33" s="459">
        <f t="shared" si="19"/>
        <v>0</v>
      </c>
      <c r="Q33" s="459">
        <f t="shared" ca="1" si="19"/>
        <v>360381.88711111998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23313.407664126065</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30845.669231171043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22171.500000000004</v>
      </c>
      <c r="C8" s="1015">
        <f>'SEAP template'!C76</f>
        <v>13077</v>
      </c>
      <c r="D8" s="1015">
        <f>'SEAP template'!D76</f>
        <v>15384.705882352941</v>
      </c>
      <c r="E8" s="1015">
        <f>'SEAP template'!E76</f>
        <v>0</v>
      </c>
      <c r="F8" s="1015">
        <f>'SEAP template'!F76</f>
        <v>0</v>
      </c>
      <c r="G8" s="1015">
        <f>'SEAP template'!G76</f>
        <v>0</v>
      </c>
      <c r="H8" s="1015">
        <f>'SEAP template'!H76</f>
        <v>0</v>
      </c>
      <c r="I8" s="1015">
        <f>'SEAP template'!I76</f>
        <v>0</v>
      </c>
      <c r="J8" s="1015">
        <f>'SEAP template'!J76</f>
        <v>26084.117647058825</v>
      </c>
      <c r="K8" s="1015">
        <f>'SEAP template'!K76</f>
        <v>0</v>
      </c>
      <c r="L8" s="1015">
        <f>'SEAP template'!L76</f>
        <v>0</v>
      </c>
      <c r="M8" s="1015">
        <f>'SEAP template'!M76</f>
        <v>0</v>
      </c>
      <c r="N8" s="1015">
        <f>'SEAP template'!N76</f>
        <v>0</v>
      </c>
      <c r="O8" s="1015">
        <f>'SEAP template'!O76</f>
        <v>0</v>
      </c>
      <c r="P8" s="1016">
        <f>'SEAP template'!Q76</f>
        <v>3107.7105882352944</v>
      </c>
    </row>
    <row r="9" spans="1:16">
      <c r="A9" s="1021" t="s">
        <v>750</v>
      </c>
      <c r="B9" s="1015">
        <f>'SEAP template'!B77</f>
        <v>139.5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398.57142857142861</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76470.076895297112</v>
      </c>
      <c r="C10" s="1017">
        <f>SUM(C4:C9)</f>
        <v>13077</v>
      </c>
      <c r="D10" s="1017">
        <f t="shared" ref="D10:H10" si="0">SUM(D8:D9)</f>
        <v>15384.705882352941</v>
      </c>
      <c r="E10" s="1017">
        <f t="shared" si="0"/>
        <v>0</v>
      </c>
      <c r="F10" s="1017">
        <f t="shared" si="0"/>
        <v>0</v>
      </c>
      <c r="G10" s="1017">
        <f t="shared" si="0"/>
        <v>0</v>
      </c>
      <c r="H10" s="1017">
        <f t="shared" si="0"/>
        <v>0</v>
      </c>
      <c r="I10" s="1017">
        <f>SUM(I8:I9)</f>
        <v>0</v>
      </c>
      <c r="J10" s="1017">
        <f>SUM(J8:J9)</f>
        <v>26482.689075630253</v>
      </c>
      <c r="K10" s="1017">
        <f t="shared" ref="K10:L10" si="1">SUM(K8:K9)</f>
        <v>0</v>
      </c>
      <c r="L10" s="1017">
        <f t="shared" si="1"/>
        <v>0</v>
      </c>
      <c r="M10" s="1017">
        <f>SUM(M8:M9)</f>
        <v>0</v>
      </c>
      <c r="N10" s="1017">
        <f>SUM(N8:N9)</f>
        <v>0</v>
      </c>
      <c r="O10" s="1017">
        <f>SUM(O8:O9)</f>
        <v>0</v>
      </c>
      <c r="P10" s="1017">
        <f>SUM(P8:P9)</f>
        <v>3107.7105882352944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0.18851345167800104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31673.571428571431</v>
      </c>
      <c r="C17" s="1018">
        <f>'SEAP template'!C87</f>
        <v>18681.428571428572</v>
      </c>
      <c r="D17" s="1016">
        <f>'SEAP template'!D87</f>
        <v>21978.151260504208</v>
      </c>
      <c r="E17" s="1016">
        <f>'SEAP template'!E87</f>
        <v>0</v>
      </c>
      <c r="F17" s="1016">
        <f>'SEAP template'!F87</f>
        <v>0</v>
      </c>
      <c r="G17" s="1016">
        <f>'SEAP template'!G87</f>
        <v>0</v>
      </c>
      <c r="H17" s="1016">
        <f>'SEAP template'!H87</f>
        <v>0</v>
      </c>
      <c r="I17" s="1016">
        <f>'SEAP template'!I87</f>
        <v>0</v>
      </c>
      <c r="J17" s="1016">
        <f>'SEAP template'!J87</f>
        <v>37263.025210084044</v>
      </c>
      <c r="K17" s="1016">
        <f>'SEAP template'!K87</f>
        <v>0</v>
      </c>
      <c r="L17" s="1016">
        <f>'SEAP template'!L87</f>
        <v>0</v>
      </c>
      <c r="M17" s="1016">
        <f>'SEAP template'!M87</f>
        <v>0</v>
      </c>
      <c r="N17" s="1016">
        <f>'SEAP template'!N87</f>
        <v>0</v>
      </c>
      <c r="O17" s="1016">
        <f>'SEAP template'!O87</f>
        <v>0</v>
      </c>
      <c r="P17" s="1016">
        <f>'SEAP template'!Q87</f>
        <v>4439.5865546218502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31673.571428571431</v>
      </c>
      <c r="C20" s="1017">
        <f>SUM(C17:C19)</f>
        <v>18681.428571428572</v>
      </c>
      <c r="D20" s="1017">
        <f t="shared" ref="D20:H20" si="2">SUM(D17:D19)</f>
        <v>21978.151260504208</v>
      </c>
      <c r="E20" s="1017">
        <f t="shared" si="2"/>
        <v>0</v>
      </c>
      <c r="F20" s="1017">
        <f t="shared" si="2"/>
        <v>0</v>
      </c>
      <c r="G20" s="1017">
        <f t="shared" si="2"/>
        <v>0</v>
      </c>
      <c r="H20" s="1017">
        <f t="shared" si="2"/>
        <v>0</v>
      </c>
      <c r="I20" s="1017">
        <f>SUM(I17:I19)</f>
        <v>0</v>
      </c>
      <c r="J20" s="1017">
        <f>SUM(J17:J19)</f>
        <v>37263.025210084044</v>
      </c>
      <c r="K20" s="1017">
        <f t="shared" ref="K20:L20" si="3">SUM(K17:K19)</f>
        <v>0</v>
      </c>
      <c r="L20" s="1017">
        <f t="shared" si="3"/>
        <v>0</v>
      </c>
      <c r="M20" s="1017">
        <f>SUM(M17:M19)</f>
        <v>0</v>
      </c>
      <c r="N20" s="1017">
        <f>SUM(N17:N19)</f>
        <v>0</v>
      </c>
      <c r="O20" s="1017">
        <f>SUM(O17:O19)</f>
        <v>0</v>
      </c>
      <c r="P20" s="1017">
        <f>SUM(P17:P19)</f>
        <v>4439.5865546218502</v>
      </c>
    </row>
    <row r="21" spans="1:16">
      <c r="B21" s="882"/>
    </row>
    <row r="22" spans="1:16">
      <c r="A22" s="461" t="s">
        <v>762</v>
      </c>
      <c r="B22" s="777" t="s">
        <v>760</v>
      </c>
      <c r="C22" s="777">
        <f ca="1">'EF ele_warmte'!B22</f>
        <v>8.816575423735179E-2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0.18851345167800104</v>
      </c>
      <c r="C17" s="497">
        <f ca="1">'EF ele_warmte'!B22</f>
        <v>8.816575423735179E-2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0.18851345167800104</v>
      </c>
      <c r="C17" s="497">
        <f ca="1">'EF ele_warmte'!B22</f>
        <v>8.816575423735179E-2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0.18851345167800104</v>
      </c>
      <c r="C29" s="498">
        <f ca="1">'EF ele_warmte'!B22</f>
        <v>8.816575423735179E-2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27282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2349.66</v>
      </c>
      <c r="C14" s="326"/>
      <c r="D14" s="326"/>
      <c r="E14" s="326"/>
      <c r="F14" s="326"/>
    </row>
    <row r="15" spans="1:6">
      <c r="A15" s="1307" t="s">
        <v>183</v>
      </c>
      <c r="B15" s="1308">
        <v>10</v>
      </c>
      <c r="C15" s="326"/>
      <c r="D15" s="326"/>
      <c r="E15" s="326"/>
      <c r="F15" s="326"/>
    </row>
    <row r="16" spans="1:6">
      <c r="A16" s="1307" t="s">
        <v>6</v>
      </c>
      <c r="B16" s="1308">
        <v>295</v>
      </c>
      <c r="C16" s="326"/>
      <c r="D16" s="326"/>
      <c r="E16" s="326"/>
      <c r="F16" s="326"/>
    </row>
    <row r="17" spans="1:6">
      <c r="A17" s="1307" t="s">
        <v>7</v>
      </c>
      <c r="B17" s="1308">
        <v>499</v>
      </c>
      <c r="C17" s="326"/>
      <c r="D17" s="326"/>
      <c r="E17" s="326"/>
      <c r="F17" s="326"/>
    </row>
    <row r="18" spans="1:6">
      <c r="A18" s="1307" t="s">
        <v>8</v>
      </c>
      <c r="B18" s="1308">
        <v>575</v>
      </c>
      <c r="C18" s="326"/>
      <c r="D18" s="326"/>
      <c r="E18" s="326"/>
      <c r="F18" s="326"/>
    </row>
    <row r="19" spans="1:6">
      <c r="A19" s="1307" t="s">
        <v>9</v>
      </c>
      <c r="B19" s="1308">
        <v>585</v>
      </c>
      <c r="C19" s="326"/>
      <c r="D19" s="326"/>
      <c r="E19" s="326"/>
      <c r="F19" s="326"/>
    </row>
    <row r="20" spans="1:6">
      <c r="A20" s="1307" t="s">
        <v>10</v>
      </c>
      <c r="B20" s="1308">
        <v>400</v>
      </c>
      <c r="C20" s="326"/>
      <c r="D20" s="326"/>
      <c r="E20" s="326"/>
      <c r="F20" s="326"/>
    </row>
    <row r="21" spans="1:6">
      <c r="A21" s="1307" t="s">
        <v>11</v>
      </c>
      <c r="B21" s="1308">
        <v>14637</v>
      </c>
      <c r="C21" s="326"/>
      <c r="D21" s="326"/>
      <c r="E21" s="326"/>
      <c r="F21" s="326"/>
    </row>
    <row r="22" spans="1:6">
      <c r="A22" s="1307" t="s">
        <v>12</v>
      </c>
      <c r="B22" s="1308">
        <v>34102</v>
      </c>
      <c r="C22" s="326"/>
      <c r="D22" s="326"/>
      <c r="E22" s="326"/>
      <c r="F22" s="326"/>
    </row>
    <row r="23" spans="1:6">
      <c r="A23" s="1307" t="s">
        <v>13</v>
      </c>
      <c r="B23" s="1308">
        <v>625</v>
      </c>
      <c r="C23" s="326"/>
      <c r="D23" s="326"/>
      <c r="E23" s="326"/>
      <c r="F23" s="326"/>
    </row>
    <row r="24" spans="1:6">
      <c r="A24" s="1307" t="s">
        <v>14</v>
      </c>
      <c r="B24" s="1308">
        <v>60</v>
      </c>
      <c r="C24" s="326"/>
      <c r="D24" s="326"/>
      <c r="E24" s="326"/>
      <c r="F24" s="326"/>
    </row>
    <row r="25" spans="1:6">
      <c r="A25" s="1307" t="s">
        <v>15</v>
      </c>
      <c r="B25" s="1308">
        <v>3580</v>
      </c>
      <c r="C25" s="326"/>
      <c r="D25" s="326"/>
      <c r="E25" s="326"/>
      <c r="F25" s="326"/>
    </row>
    <row r="26" spans="1:6">
      <c r="A26" s="1307" t="s">
        <v>16</v>
      </c>
      <c r="B26" s="1308">
        <v>620</v>
      </c>
      <c r="C26" s="326"/>
      <c r="D26" s="326"/>
      <c r="E26" s="326"/>
      <c r="F26" s="326"/>
    </row>
    <row r="27" spans="1:6">
      <c r="A27" s="1307" t="s">
        <v>17</v>
      </c>
      <c r="B27" s="1308">
        <v>28</v>
      </c>
      <c r="C27" s="326"/>
      <c r="D27" s="326"/>
      <c r="E27" s="326"/>
      <c r="F27" s="326"/>
    </row>
    <row r="28" spans="1:6" s="43" customFormat="1">
      <c r="A28" s="1309" t="s">
        <v>18</v>
      </c>
      <c r="B28" s="1310">
        <v>96644</v>
      </c>
      <c r="C28" s="332"/>
      <c r="D28" s="332"/>
      <c r="E28" s="332"/>
      <c r="F28" s="332"/>
    </row>
    <row r="29" spans="1:6">
      <c r="A29" s="1309" t="s">
        <v>688</v>
      </c>
      <c r="B29" s="1310">
        <v>63</v>
      </c>
      <c r="C29" s="332"/>
      <c r="D29" s="332"/>
      <c r="E29" s="332"/>
      <c r="F29" s="332"/>
    </row>
    <row r="30" spans="1:6">
      <c r="A30" s="1302" t="s">
        <v>689</v>
      </c>
      <c r="B30" s="1311">
        <v>22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4</v>
      </c>
      <c r="D36" s="1308">
        <v>396547.80934703897</v>
      </c>
      <c r="E36" s="1308">
        <v>16</v>
      </c>
      <c r="F36" s="1308">
        <v>238205.56805953401</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10973.5508566356</v>
      </c>
    </row>
    <row r="39" spans="1:6">
      <c r="A39" s="1307" t="s">
        <v>29</v>
      </c>
      <c r="B39" s="1307" t="s">
        <v>30</v>
      </c>
      <c r="C39" s="1308">
        <v>22067</v>
      </c>
      <c r="D39" s="1308">
        <v>294672346.38557899</v>
      </c>
      <c r="E39" s="1308">
        <v>26317</v>
      </c>
      <c r="F39" s="1308">
        <v>78452033.139190599</v>
      </c>
    </row>
    <row r="40" spans="1:6">
      <c r="A40" s="1307" t="s">
        <v>29</v>
      </c>
      <c r="B40" s="1307" t="s">
        <v>28</v>
      </c>
      <c r="C40" s="1308">
        <v>1</v>
      </c>
      <c r="D40" s="1308">
        <v>50706.849669349001</v>
      </c>
      <c r="E40" s="1308">
        <v>2</v>
      </c>
      <c r="F40" s="1308">
        <v>27256.160661013299</v>
      </c>
    </row>
    <row r="41" spans="1:6">
      <c r="A41" s="1307" t="s">
        <v>31</v>
      </c>
      <c r="B41" s="1307" t="s">
        <v>32</v>
      </c>
      <c r="C41" s="1308">
        <v>383</v>
      </c>
      <c r="D41" s="1308">
        <v>10433321.533924</v>
      </c>
      <c r="E41" s="1308">
        <v>749</v>
      </c>
      <c r="F41" s="1308">
        <v>32917623.567886401</v>
      </c>
    </row>
    <row r="42" spans="1:6">
      <c r="A42" s="1307" t="s">
        <v>31</v>
      </c>
      <c r="B42" s="1307" t="s">
        <v>33</v>
      </c>
      <c r="C42" s="1308">
        <v>5</v>
      </c>
      <c r="D42" s="1308">
        <v>44765697.680557802</v>
      </c>
      <c r="E42" s="1308">
        <v>7</v>
      </c>
      <c r="F42" s="1308">
        <v>13425348.537152899</v>
      </c>
    </row>
    <row r="43" spans="1:6">
      <c r="A43" s="1307" t="s">
        <v>31</v>
      </c>
      <c r="B43" s="1307" t="s">
        <v>34</v>
      </c>
      <c r="C43" s="1308">
        <v>0</v>
      </c>
      <c r="D43" s="1308">
        <v>0</v>
      </c>
      <c r="E43" s="1308">
        <v>0</v>
      </c>
      <c r="F43" s="1308">
        <v>0</v>
      </c>
    </row>
    <row r="44" spans="1:6">
      <c r="A44" s="1307" t="s">
        <v>31</v>
      </c>
      <c r="B44" s="1307" t="s">
        <v>35</v>
      </c>
      <c r="C44" s="1308">
        <v>75</v>
      </c>
      <c r="D44" s="1308">
        <v>29388491.097224899</v>
      </c>
      <c r="E44" s="1308">
        <v>198</v>
      </c>
      <c r="F44" s="1308">
        <v>27839750.9957317</v>
      </c>
    </row>
    <row r="45" spans="1:6">
      <c r="A45" s="1307" t="s">
        <v>31</v>
      </c>
      <c r="B45" s="1307" t="s">
        <v>36</v>
      </c>
      <c r="C45" s="1308">
        <v>15</v>
      </c>
      <c r="D45" s="1308">
        <v>49010397.443039201</v>
      </c>
      <c r="E45" s="1308">
        <v>25</v>
      </c>
      <c r="F45" s="1308">
        <v>29911569.927635901</v>
      </c>
    </row>
    <row r="46" spans="1:6">
      <c r="A46" s="1307" t="s">
        <v>31</v>
      </c>
      <c r="B46" s="1307" t="s">
        <v>37</v>
      </c>
      <c r="C46" s="1308">
        <v>0</v>
      </c>
      <c r="D46" s="1308">
        <v>0</v>
      </c>
      <c r="E46" s="1308">
        <v>0</v>
      </c>
      <c r="F46" s="1308">
        <v>0</v>
      </c>
    </row>
    <row r="47" spans="1:6">
      <c r="A47" s="1307" t="s">
        <v>31</v>
      </c>
      <c r="B47" s="1307" t="s">
        <v>38</v>
      </c>
      <c r="C47" s="1308">
        <v>22</v>
      </c>
      <c r="D47" s="1308">
        <v>1174511.7160149999</v>
      </c>
      <c r="E47" s="1308">
        <v>36</v>
      </c>
      <c r="F47" s="1308">
        <v>1808942.0175469399</v>
      </c>
    </row>
    <row r="48" spans="1:6">
      <c r="A48" s="1307" t="s">
        <v>31</v>
      </c>
      <c r="B48" s="1307" t="s">
        <v>28</v>
      </c>
      <c r="C48" s="1308">
        <v>0</v>
      </c>
      <c r="D48" s="1308">
        <v>0</v>
      </c>
      <c r="E48" s="1308">
        <v>0</v>
      </c>
      <c r="F48" s="1308">
        <v>0</v>
      </c>
    </row>
    <row r="49" spans="1:6">
      <c r="A49" s="1307" t="s">
        <v>31</v>
      </c>
      <c r="B49" s="1307" t="s">
        <v>39</v>
      </c>
      <c r="C49" s="1308">
        <v>16</v>
      </c>
      <c r="D49" s="1308">
        <v>992073.39346631803</v>
      </c>
      <c r="E49" s="1308">
        <v>48</v>
      </c>
      <c r="F49" s="1308">
        <v>3173780.4115975499</v>
      </c>
    </row>
    <row r="50" spans="1:6">
      <c r="A50" s="1307" t="s">
        <v>31</v>
      </c>
      <c r="B50" s="1307" t="s">
        <v>40</v>
      </c>
      <c r="C50" s="1308">
        <v>93</v>
      </c>
      <c r="D50" s="1308">
        <v>202638639.73083201</v>
      </c>
      <c r="E50" s="1308">
        <v>123</v>
      </c>
      <c r="F50" s="1308">
        <v>103258160.76234899</v>
      </c>
    </row>
    <row r="51" spans="1:6">
      <c r="A51" s="1307" t="s">
        <v>41</v>
      </c>
      <c r="B51" s="1307" t="s">
        <v>42</v>
      </c>
      <c r="C51" s="1308">
        <v>45</v>
      </c>
      <c r="D51" s="1308">
        <v>2110697.2028711298</v>
      </c>
      <c r="E51" s="1308">
        <v>188</v>
      </c>
      <c r="F51" s="1308">
        <v>3224388.6729258602</v>
      </c>
    </row>
    <row r="52" spans="1:6">
      <c r="A52" s="1307" t="s">
        <v>41</v>
      </c>
      <c r="B52" s="1307" t="s">
        <v>28</v>
      </c>
      <c r="C52" s="1308">
        <v>0</v>
      </c>
      <c r="D52" s="1308">
        <v>0</v>
      </c>
      <c r="E52" s="1308">
        <v>0</v>
      </c>
      <c r="F52" s="1308">
        <v>0</v>
      </c>
    </row>
    <row r="53" spans="1:6">
      <c r="A53" s="1307" t="s">
        <v>43</v>
      </c>
      <c r="B53" s="1307" t="s">
        <v>44</v>
      </c>
      <c r="C53" s="1308">
        <v>522</v>
      </c>
      <c r="D53" s="1308">
        <v>14421149.655311201</v>
      </c>
      <c r="E53" s="1308">
        <v>1005</v>
      </c>
      <c r="F53" s="1308">
        <v>3661920.9626504499</v>
      </c>
    </row>
    <row r="54" spans="1:6">
      <c r="A54" s="1307" t="s">
        <v>45</v>
      </c>
      <c r="B54" s="1307" t="s">
        <v>46</v>
      </c>
      <c r="C54" s="1308">
        <v>0</v>
      </c>
      <c r="D54" s="1308">
        <v>0</v>
      </c>
      <c r="E54" s="1308">
        <v>1</v>
      </c>
      <c r="F54" s="1308">
        <v>5102328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390</v>
      </c>
      <c r="D57" s="1308">
        <v>53718210.106827699</v>
      </c>
      <c r="E57" s="1308">
        <v>533</v>
      </c>
      <c r="F57" s="1308">
        <v>17502645.604756899</v>
      </c>
    </row>
    <row r="58" spans="1:6">
      <c r="A58" s="1307" t="s">
        <v>48</v>
      </c>
      <c r="B58" s="1307" t="s">
        <v>50</v>
      </c>
      <c r="C58" s="1308">
        <v>236</v>
      </c>
      <c r="D58" s="1308">
        <v>12303585.708465699</v>
      </c>
      <c r="E58" s="1308">
        <v>296</v>
      </c>
      <c r="F58" s="1308">
        <v>19506860.228553198</v>
      </c>
    </row>
    <row r="59" spans="1:6">
      <c r="A59" s="1307" t="s">
        <v>48</v>
      </c>
      <c r="B59" s="1307" t="s">
        <v>51</v>
      </c>
      <c r="C59" s="1308">
        <v>768</v>
      </c>
      <c r="D59" s="1308">
        <v>36724999.963161796</v>
      </c>
      <c r="E59" s="1308">
        <v>1231</v>
      </c>
      <c r="F59" s="1308">
        <v>54752582.028897703</v>
      </c>
    </row>
    <row r="60" spans="1:6">
      <c r="A60" s="1307" t="s">
        <v>48</v>
      </c>
      <c r="B60" s="1307" t="s">
        <v>52</v>
      </c>
      <c r="C60" s="1308">
        <v>380</v>
      </c>
      <c r="D60" s="1308">
        <v>31043751.037522499</v>
      </c>
      <c r="E60" s="1308">
        <v>555</v>
      </c>
      <c r="F60" s="1308">
        <v>14661886.6944756</v>
      </c>
    </row>
    <row r="61" spans="1:6">
      <c r="A61" s="1307" t="s">
        <v>48</v>
      </c>
      <c r="B61" s="1307" t="s">
        <v>53</v>
      </c>
      <c r="C61" s="1308">
        <v>911</v>
      </c>
      <c r="D61" s="1308">
        <v>70029909.446566597</v>
      </c>
      <c r="E61" s="1308">
        <v>1800</v>
      </c>
      <c r="F61" s="1308">
        <v>48891035.259910204</v>
      </c>
    </row>
    <row r="62" spans="1:6">
      <c r="A62" s="1307" t="s">
        <v>48</v>
      </c>
      <c r="B62" s="1307" t="s">
        <v>54</v>
      </c>
      <c r="C62" s="1308">
        <v>56</v>
      </c>
      <c r="D62" s="1308">
        <v>3195958.3659615801</v>
      </c>
      <c r="E62" s="1308">
        <v>110</v>
      </c>
      <c r="F62" s="1308">
        <v>3015208.0587319601</v>
      </c>
    </row>
    <row r="63" spans="1:6">
      <c r="A63" s="1307" t="s">
        <v>48</v>
      </c>
      <c r="B63" s="1307" t="s">
        <v>28</v>
      </c>
      <c r="C63" s="1308">
        <v>0</v>
      </c>
      <c r="D63" s="1308">
        <v>0</v>
      </c>
      <c r="E63" s="1308">
        <v>1</v>
      </c>
      <c r="F63" s="1308">
        <v>2892.9340000000002</v>
      </c>
    </row>
    <row r="64" spans="1:6">
      <c r="A64" s="1307" t="s">
        <v>55</v>
      </c>
      <c r="B64" s="1307" t="s">
        <v>56</v>
      </c>
      <c r="C64" s="1308">
        <v>0</v>
      </c>
      <c r="D64" s="1308">
        <v>0</v>
      </c>
      <c r="E64" s="1308">
        <v>0</v>
      </c>
      <c r="F64" s="1308">
        <v>0</v>
      </c>
    </row>
    <row r="65" spans="1:6">
      <c r="A65" s="1307" t="s">
        <v>55</v>
      </c>
      <c r="B65" s="1307" t="s">
        <v>28</v>
      </c>
      <c r="C65" s="1308">
        <v>1</v>
      </c>
      <c r="D65" s="1308">
        <v>20674.992833750399</v>
      </c>
      <c r="E65" s="1308">
        <v>0</v>
      </c>
      <c r="F65" s="1308">
        <v>0</v>
      </c>
    </row>
    <row r="66" spans="1:6">
      <c r="A66" s="1307" t="s">
        <v>55</v>
      </c>
      <c r="B66" s="1307" t="s">
        <v>57</v>
      </c>
      <c r="C66" s="1308">
        <v>0</v>
      </c>
      <c r="D66" s="1308">
        <v>0</v>
      </c>
      <c r="E66" s="1308">
        <v>22</v>
      </c>
      <c r="F66" s="1308">
        <v>530912.349354823</v>
      </c>
    </row>
    <row r="67" spans="1:6">
      <c r="A67" s="1309" t="s">
        <v>55</v>
      </c>
      <c r="B67" s="1309" t="s">
        <v>58</v>
      </c>
      <c r="C67" s="1308">
        <v>0</v>
      </c>
      <c r="D67" s="1308">
        <v>0</v>
      </c>
      <c r="E67" s="1308">
        <v>0</v>
      </c>
      <c r="F67" s="1308">
        <v>0</v>
      </c>
    </row>
    <row r="68" spans="1:6">
      <c r="A68" s="1302" t="s">
        <v>55</v>
      </c>
      <c r="B68" s="1302" t="s">
        <v>59</v>
      </c>
      <c r="C68" s="1311">
        <v>27</v>
      </c>
      <c r="D68" s="1311">
        <v>819016.63306237198</v>
      </c>
      <c r="E68" s="1311">
        <v>57</v>
      </c>
      <c r="F68" s="1311">
        <v>1302465.7885771601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131873519</v>
      </c>
      <c r="E73" s="447"/>
      <c r="F73" s="326"/>
    </row>
    <row r="74" spans="1:6">
      <c r="A74" s="1307" t="s">
        <v>63</v>
      </c>
      <c r="B74" s="1307" t="s">
        <v>639</v>
      </c>
      <c r="C74" s="1321" t="s">
        <v>641</v>
      </c>
      <c r="D74" s="1322">
        <v>17190707.130476728</v>
      </c>
      <c r="E74" s="447"/>
      <c r="F74" s="326"/>
    </row>
    <row r="75" spans="1:6">
      <c r="A75" s="1307" t="s">
        <v>64</v>
      </c>
      <c r="B75" s="1307" t="s">
        <v>638</v>
      </c>
      <c r="C75" s="1321" t="s">
        <v>642</v>
      </c>
      <c r="D75" s="1322">
        <v>63948959</v>
      </c>
      <c r="E75" s="447"/>
      <c r="F75" s="326"/>
    </row>
    <row r="76" spans="1:6">
      <c r="A76" s="1307" t="s">
        <v>64</v>
      </c>
      <c r="B76" s="1307" t="s">
        <v>639</v>
      </c>
      <c r="C76" s="1321" t="s">
        <v>643</v>
      </c>
      <c r="D76" s="1322">
        <v>3775144.1304767299</v>
      </c>
      <c r="E76" s="447"/>
      <c r="F76" s="326"/>
    </row>
    <row r="77" spans="1:6">
      <c r="A77" s="1307" t="s">
        <v>65</v>
      </c>
      <c r="B77" s="1307" t="s">
        <v>638</v>
      </c>
      <c r="C77" s="1321" t="s">
        <v>644</v>
      </c>
      <c r="D77" s="1322">
        <v>70962065</v>
      </c>
      <c r="E77" s="447"/>
      <c r="F77" s="326"/>
    </row>
    <row r="78" spans="1:6">
      <c r="A78" s="1302" t="s">
        <v>65</v>
      </c>
      <c r="B78" s="1302" t="s">
        <v>639</v>
      </c>
      <c r="C78" s="1302" t="s">
        <v>645</v>
      </c>
      <c r="D78" s="1323">
        <v>11795924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1389687.7390465401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23313.407664126065</v>
      </c>
      <c r="C90" s="326"/>
      <c r="D90" s="326"/>
      <c r="E90" s="326"/>
      <c r="F90" s="326"/>
    </row>
    <row r="91" spans="1:6">
      <c r="A91" s="1307" t="s">
        <v>67</v>
      </c>
      <c r="B91" s="1308">
        <v>16496.818190768165</v>
      </c>
      <c r="C91" s="326"/>
      <c r="D91" s="326"/>
      <c r="E91" s="326"/>
      <c r="F91" s="326"/>
    </row>
    <row r="92" spans="1:6">
      <c r="A92" s="1302" t="s">
        <v>68</v>
      </c>
      <c r="B92" s="1303">
        <v>14348.851040402878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15096</v>
      </c>
      <c r="C97" s="326"/>
      <c r="D97" s="326"/>
      <c r="E97" s="326"/>
      <c r="F97" s="326"/>
    </row>
    <row r="98" spans="1:6">
      <c r="A98" s="1307" t="s">
        <v>71</v>
      </c>
      <c r="B98" s="1308">
        <v>2</v>
      </c>
      <c r="C98" s="326"/>
      <c r="D98" s="326"/>
      <c r="E98" s="326"/>
      <c r="F98" s="326"/>
    </row>
    <row r="99" spans="1:6">
      <c r="A99" s="1307" t="s">
        <v>72</v>
      </c>
      <c r="B99" s="1308">
        <v>218</v>
      </c>
      <c r="C99" s="326"/>
      <c r="D99" s="326"/>
      <c r="E99" s="326"/>
      <c r="F99" s="326"/>
    </row>
    <row r="100" spans="1:6">
      <c r="A100" s="1307" t="s">
        <v>73</v>
      </c>
      <c r="B100" s="1308">
        <v>1605</v>
      </c>
      <c r="C100" s="326"/>
      <c r="D100" s="326"/>
      <c r="E100" s="326"/>
      <c r="F100" s="326"/>
    </row>
    <row r="101" spans="1:6">
      <c r="A101" s="1307" t="s">
        <v>74</v>
      </c>
      <c r="B101" s="1308">
        <v>277</v>
      </c>
      <c r="C101" s="326"/>
      <c r="D101" s="326"/>
      <c r="E101" s="326"/>
      <c r="F101" s="326"/>
    </row>
    <row r="102" spans="1:6">
      <c r="A102" s="1307" t="s">
        <v>75</v>
      </c>
      <c r="B102" s="1308">
        <v>397</v>
      </c>
      <c r="C102" s="326"/>
      <c r="D102" s="326"/>
      <c r="E102" s="326"/>
      <c r="F102" s="326"/>
    </row>
    <row r="103" spans="1:6">
      <c r="A103" s="1307" t="s">
        <v>76</v>
      </c>
      <c r="B103" s="1308">
        <v>430</v>
      </c>
      <c r="C103" s="326"/>
      <c r="D103" s="326"/>
      <c r="E103" s="326"/>
      <c r="F103" s="326"/>
    </row>
    <row r="104" spans="1:6">
      <c r="A104" s="1307" t="s">
        <v>77</v>
      </c>
      <c r="B104" s="1308">
        <v>3828</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135</v>
      </c>
      <c r="C123" s="1308">
        <v>125</v>
      </c>
      <c r="D123" s="326"/>
      <c r="E123" s="326"/>
      <c r="F123" s="326"/>
    </row>
    <row r="124" spans="1:6" s="43" customFormat="1">
      <c r="A124" s="1309" t="s">
        <v>88</v>
      </c>
      <c r="B124" s="1330">
        <v>4</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712</v>
      </c>
      <c r="C129" s="326"/>
      <c r="D129" s="326"/>
      <c r="E129" s="326"/>
      <c r="F129" s="326"/>
    </row>
    <row r="130" spans="1:6">
      <c r="A130" s="1307" t="s">
        <v>290</v>
      </c>
      <c r="B130" s="1308">
        <v>6</v>
      </c>
      <c r="C130" s="326"/>
      <c r="D130" s="326"/>
      <c r="E130" s="326"/>
      <c r="F130" s="326"/>
    </row>
    <row r="131" spans="1:6">
      <c r="A131" s="1307" t="s">
        <v>291</v>
      </c>
      <c r="B131" s="1308">
        <v>11</v>
      </c>
      <c r="C131" s="326"/>
      <c r="D131" s="326"/>
      <c r="E131" s="326"/>
      <c r="F131" s="326"/>
    </row>
    <row r="132" spans="1:6">
      <c r="A132" s="1302" t="s">
        <v>292</v>
      </c>
      <c r="B132" s="1303">
        <v>81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513510.79961698101</v>
      </c>
      <c r="C3" s="43" t="s">
        <v>169</v>
      </c>
      <c r="D3" s="43"/>
      <c r="E3" s="154"/>
      <c r="F3" s="43"/>
      <c r="G3" s="43"/>
      <c r="H3" s="43"/>
      <c r="I3" s="43"/>
      <c r="J3" s="43"/>
      <c r="K3" s="96"/>
    </row>
    <row r="4" spans="1:11">
      <c r="A4" s="354" t="s">
        <v>170</v>
      </c>
      <c r="B4" s="49">
        <f>IF(ISERROR('SEAP template'!B78+'SEAP template'!C78),0,'SEAP template'!B78+'SEAP template'!C78)</f>
        <v>89547.076895297112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3107.7105882352944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0.18851345167800104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4439.5865546218502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50355.000000000007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8.816575423735179E-2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5102.3280000000004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5102.3280000000004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0.18851345167800104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961.85746287331176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78479.289299851618</v>
      </c>
      <c r="C5" s="17">
        <f>IF(ISERROR('Eigen informatie GS &amp; warmtenet'!B59),0,'Eigen informatie GS &amp; warmtenet'!B59)</f>
        <v>0</v>
      </c>
      <c r="D5" s="30">
        <f>(SUM(HH_hh_gas_kWh,HH_rest_gas_kWh)/1000)*0.903</f>
        <v>266134.91707142926</v>
      </c>
      <c r="E5" s="17">
        <f>B32*B41</f>
        <v>3786.606104462167</v>
      </c>
      <c r="F5" s="17">
        <f>B36*B45</f>
        <v>86008.518957111097</v>
      </c>
      <c r="G5" s="18"/>
      <c r="H5" s="17"/>
      <c r="I5" s="17"/>
      <c r="J5" s="17">
        <f>B35*B44+C35*C44</f>
        <v>430.28610903918184</v>
      </c>
      <c r="K5" s="17"/>
      <c r="L5" s="17"/>
      <c r="M5" s="17"/>
      <c r="N5" s="17">
        <f>B34*B43+C34*C43</f>
        <v>35065.091758427916</v>
      </c>
      <c r="O5" s="17">
        <f>B52*B53*B54</f>
        <v>1664.5409460657197</v>
      </c>
      <c r="P5" s="17">
        <f>B60*B61*B62/1000-B60*B61*B62/1000/B63</f>
        <v>2317.4710476907053</v>
      </c>
    </row>
    <row r="6" spans="1:16">
      <c r="A6" s="16" t="s">
        <v>604</v>
      </c>
      <c r="B6" s="779">
        <f>kWh_PV_kleiner_dan_10kW</f>
        <v>16496.818190768165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94976.10749061979</v>
      </c>
      <c r="C8" s="21">
        <f>C5</f>
        <v>0</v>
      </c>
      <c r="D8" s="21">
        <f>D5</f>
        <v>266134.91707142926</v>
      </c>
      <c r="E8" s="21">
        <f>E5</f>
        <v>3786.606104462167</v>
      </c>
      <c r="F8" s="21">
        <f>F5</f>
        <v>86008.518957111097</v>
      </c>
      <c r="G8" s="21"/>
      <c r="H8" s="21"/>
      <c r="I8" s="21"/>
      <c r="J8" s="21">
        <f>J5</f>
        <v>430.28610903918184</v>
      </c>
      <c r="K8" s="21"/>
      <c r="L8" s="21">
        <f>L5</f>
        <v>0</v>
      </c>
      <c r="M8" s="21">
        <f>M5</f>
        <v>0</v>
      </c>
      <c r="N8" s="21">
        <f>N5</f>
        <v>35065.091758427916</v>
      </c>
      <c r="O8" s="21">
        <f>O5</f>
        <v>1664.5409460657197</v>
      </c>
      <c r="P8" s="21">
        <f>P5</f>
        <v>2317.4710476907053</v>
      </c>
    </row>
    <row r="9" spans="1:16">
      <c r="B9" s="19"/>
      <c r="C9" s="19"/>
      <c r="D9" s="254"/>
      <c r="E9" s="19"/>
      <c r="F9" s="19"/>
      <c r="G9" s="19"/>
      <c r="H9" s="19"/>
      <c r="I9" s="19"/>
      <c r="J9" s="19"/>
      <c r="K9" s="19"/>
      <c r="L9" s="19"/>
      <c r="M9" s="19"/>
      <c r="N9" s="19"/>
      <c r="O9" s="19"/>
      <c r="P9" s="19"/>
    </row>
    <row r="10" spans="1:16">
      <c r="A10" s="24" t="s">
        <v>213</v>
      </c>
      <c r="B10" s="25">
        <f ca="1">'EF ele_warmte'!B12</f>
        <v>0.18851345167800104</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17904.273849997586</v>
      </c>
      <c r="C12" s="23">
        <f ca="1">C10*C8</f>
        <v>0</v>
      </c>
      <c r="D12" s="23">
        <f>D8*D10</f>
        <v>53759.253248428715</v>
      </c>
      <c r="E12" s="23">
        <f>E10*E8</f>
        <v>859.55958571291194</v>
      </c>
      <c r="F12" s="23">
        <f>F10*F8</f>
        <v>22964.274561548664</v>
      </c>
      <c r="G12" s="23"/>
      <c r="H12" s="23"/>
      <c r="I12" s="23"/>
      <c r="J12" s="23">
        <f>J10*J8</f>
        <v>152.32128259987036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27282</v>
      </c>
      <c r="C26" s="36"/>
      <c r="D26" s="225"/>
    </row>
    <row r="27" spans="1:5" s="15" customFormat="1">
      <c r="A27" s="227" t="s">
        <v>817</v>
      </c>
      <c r="B27" s="37">
        <f>SUM(HH_hh_gas_aantal,HH_rest_gas_aantal)</f>
        <v>22068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20964.599999999999</v>
      </c>
      <c r="C31" s="34" t="s">
        <v>110</v>
      </c>
      <c r="D31" s="171"/>
    </row>
    <row r="32" spans="1:5">
      <c r="A32" s="168" t="s">
        <v>72</v>
      </c>
      <c r="B32" s="33">
        <f>IF((B21*($B$26-($B$27-0.05*$B$27)-$B$60))&lt;0,0,B21*($B$26-($B$27-0.05*$B$27)-$B$60))</f>
        <v>93.847272466971631</v>
      </c>
      <c r="C32" s="34" t="s">
        <v>110</v>
      </c>
      <c r="D32" s="171"/>
    </row>
    <row r="33" spans="1:6">
      <c r="A33" s="168" t="s">
        <v>73</v>
      </c>
      <c r="B33" s="33">
        <f>IF((B22*($B$26-($B$27-0.05*$B$27)-$B$60))&lt;0,0,B22*($B$26-($B$27-0.05*$B$27)-$B$60))</f>
        <v>1523.8938383004481</v>
      </c>
      <c r="C33" s="34" t="s">
        <v>110</v>
      </c>
      <c r="D33" s="171"/>
    </row>
    <row r="34" spans="1:6">
      <c r="A34" s="168" t="s">
        <v>74</v>
      </c>
      <c r="B34" s="33">
        <f>IF((B24*($B$26-($B$27-0.05*$B$27)-$B$60))&lt;0,0,B24*($B$26-($B$27-0.05*$B$27)-$B$60))</f>
        <v>291.89907092847818</v>
      </c>
      <c r="C34" s="33">
        <f>B26*C24</f>
        <v>5586.6415433936518</v>
      </c>
      <c r="D34" s="230"/>
    </row>
    <row r="35" spans="1:6">
      <c r="A35" s="168" t="s">
        <v>76</v>
      </c>
      <c r="B35" s="33">
        <f>IF((B19*($B$26-($B$27-0.05*$B$27)-$B$60))&lt;0,0,B19*($B$26-($B$27-0.05*$B$27)-$B$60))</f>
        <v>40.795185603370989</v>
      </c>
      <c r="C35" s="33">
        <f>B35/2</f>
        <v>20.397592801685494</v>
      </c>
      <c r="D35" s="230"/>
    </row>
    <row r="36" spans="1:6">
      <c r="A36" s="168" t="s">
        <v>77</v>
      </c>
      <c r="B36" s="33">
        <f>IF((B18*($B$26-($B$27-0.05*$B$27)-$B$60))&lt;0,0,B18*($B$26-($B$27-0.05*$B$27)-$B$60))</f>
        <v>4146.9646327007313</v>
      </c>
      <c r="C36" s="34" t="s">
        <v>110</v>
      </c>
      <c r="D36" s="171"/>
    </row>
    <row r="37" spans="1:6">
      <c r="A37" s="168" t="s">
        <v>78</v>
      </c>
      <c r="B37" s="33">
        <f>B60</f>
        <v>220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839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158333.11080932556</v>
      </c>
      <c r="C5" s="17">
        <f>IF(ISERROR('Eigen informatie GS &amp; warmtenet'!B60),0,'Eigen informatie GS &amp; warmtenet'!B60)</f>
        <v>0</v>
      </c>
      <c r="D5" s="30">
        <f>SUM(D6:D12)</f>
        <v>186935.82240954079</v>
      </c>
      <c r="E5" s="17">
        <f>SUM(E6:E12)</f>
        <v>454.82654148126176</v>
      </c>
      <c r="F5" s="17">
        <f>SUM(F6:F12)</f>
        <v>24012.471765735969</v>
      </c>
      <c r="G5" s="18"/>
      <c r="H5" s="17"/>
      <c r="I5" s="17"/>
      <c r="J5" s="17">
        <f>SUM(J6:J12)</f>
        <v>0.1728588265695965</v>
      </c>
      <c r="K5" s="17"/>
      <c r="L5" s="17"/>
      <c r="M5" s="17"/>
      <c r="N5" s="17">
        <f>SUM(N6:N12)</f>
        <v>6448.5275241464806</v>
      </c>
      <c r="O5" s="17">
        <f>B38*B39*B40</f>
        <v>29.383564595046927</v>
      </c>
      <c r="P5" s="17">
        <f>B46*B47*B48/1000-B46*B47*B48/1000/B49</f>
        <v>630.46965967794017</v>
      </c>
      <c r="R5" s="32"/>
    </row>
    <row r="6" spans="1:18">
      <c r="A6" s="32" t="s">
        <v>53</v>
      </c>
      <c r="B6" s="37">
        <f>B26</f>
        <v>48891.035259910204</v>
      </c>
      <c r="C6" s="33"/>
      <c r="D6" s="37">
        <f>IF(ISERROR(TER_kantoor_gas_kWh/1000),0,TER_kantoor_gas_kWh/1000)*0.903</f>
        <v>63237.008230249638</v>
      </c>
      <c r="E6" s="33">
        <f>$C$26*'E Balans VL '!I12/100/3.6*1000000</f>
        <v>11.713129926992062</v>
      </c>
      <c r="F6" s="33">
        <f>$C$26*('E Balans VL '!L12+'E Balans VL '!N12)/100/3.6*1000000</f>
        <v>4636.2794496423321</v>
      </c>
      <c r="G6" s="34"/>
      <c r="H6" s="33"/>
      <c r="I6" s="33"/>
      <c r="J6" s="33">
        <f>$C$26*('E Balans VL '!D12+'E Balans VL '!E12)/100/3.6*1000000</f>
        <v>0</v>
      </c>
      <c r="K6" s="33"/>
      <c r="L6" s="33"/>
      <c r="M6" s="33"/>
      <c r="N6" s="33">
        <f>$C$26*'E Balans VL '!Y12/100/3.6*1000000</f>
        <v>24.834117086998013</v>
      </c>
      <c r="O6" s="33"/>
      <c r="P6" s="33"/>
      <c r="R6" s="32"/>
    </row>
    <row r="7" spans="1:18">
      <c r="A7" s="32" t="s">
        <v>52</v>
      </c>
      <c r="B7" s="37">
        <f t="shared" ref="B7:B12" si="0">B27</f>
        <v>14661.886694475601</v>
      </c>
      <c r="C7" s="33"/>
      <c r="D7" s="37">
        <f>IF(ISERROR(TER_horeca_gas_kWh/1000),0,TER_horeca_gas_kWh/1000)*0.903</f>
        <v>28032.507186882816</v>
      </c>
      <c r="E7" s="33">
        <f>$C$27*'E Balans VL '!I9/100/3.6*1000000</f>
        <v>0</v>
      </c>
      <c r="F7" s="33">
        <f>$C$27*('E Balans VL '!L9+'E Balans VL '!N9)/100/3.6*1000000</f>
        <v>1202.2402434068529</v>
      </c>
      <c r="G7" s="34"/>
      <c r="H7" s="33"/>
      <c r="I7" s="33"/>
      <c r="J7" s="33">
        <f>$C$27*('E Balans VL '!D9+'E Balans VL '!E9)/100/3.6*1000000</f>
        <v>0</v>
      </c>
      <c r="K7" s="33"/>
      <c r="L7" s="33"/>
      <c r="M7" s="33"/>
      <c r="N7" s="33">
        <f>$C$27*'E Balans VL '!Y9/100/3.6*1000000</f>
        <v>4.494457343265382</v>
      </c>
      <c r="O7" s="33"/>
      <c r="P7" s="33"/>
      <c r="R7" s="32"/>
    </row>
    <row r="8" spans="1:18">
      <c r="A8" s="6" t="s">
        <v>51</v>
      </c>
      <c r="B8" s="37">
        <f t="shared" si="0"/>
        <v>54752.582028897705</v>
      </c>
      <c r="C8" s="33"/>
      <c r="D8" s="37">
        <f>IF(ISERROR(TER_handel_gas_kWh/1000),0,TER_handel_gas_kWh/1000)*0.903</f>
        <v>33162.674966735103</v>
      </c>
      <c r="E8" s="33">
        <f>$C$28*'E Balans VL '!I13/100/3.6*1000000</f>
        <v>192.42540063800618</v>
      </c>
      <c r="F8" s="33">
        <f>$C$28*('E Balans VL '!L13+'E Balans VL '!N13)/100/3.6*1000000</f>
        <v>5009.7629291832682</v>
      </c>
      <c r="G8" s="34"/>
      <c r="H8" s="33"/>
      <c r="I8" s="33"/>
      <c r="J8" s="33">
        <f>$C$28*('E Balans VL '!D13+'E Balans VL '!E13)/100/3.6*1000000</f>
        <v>0</v>
      </c>
      <c r="K8" s="33"/>
      <c r="L8" s="33"/>
      <c r="M8" s="33"/>
      <c r="N8" s="33">
        <f>$C$28*'E Balans VL '!Y13/100/3.6*1000000</f>
        <v>19.829028023993544</v>
      </c>
      <c r="O8" s="33"/>
      <c r="P8" s="33"/>
      <c r="R8" s="32"/>
    </row>
    <row r="9" spans="1:18">
      <c r="A9" s="32" t="s">
        <v>50</v>
      </c>
      <c r="B9" s="37">
        <f t="shared" si="0"/>
        <v>19506.8602285532</v>
      </c>
      <c r="C9" s="33"/>
      <c r="D9" s="37">
        <f>IF(ISERROR(TER_gezond_gas_kWh/1000),0,TER_gezond_gas_kWh/1000)*0.903</f>
        <v>11110.137894744528</v>
      </c>
      <c r="E9" s="33">
        <f>$C$29*'E Balans VL '!I10/100/3.6*1000000</f>
        <v>0</v>
      </c>
      <c r="F9" s="33">
        <f>$C$29*('E Balans VL '!L10+'E Balans VL '!N10)/100/3.6*1000000</f>
        <v>2391.1828605551455</v>
      </c>
      <c r="G9" s="34"/>
      <c r="H9" s="33"/>
      <c r="I9" s="33"/>
      <c r="J9" s="33">
        <f>$C$29*('E Balans VL '!D10+'E Balans VL '!E10)/100/3.6*1000000</f>
        <v>0</v>
      </c>
      <c r="K9" s="33"/>
      <c r="L9" s="33"/>
      <c r="M9" s="33"/>
      <c r="N9" s="33">
        <f>$C$29*'E Balans VL '!Y10/100/3.6*1000000</f>
        <v>143.84950073570755</v>
      </c>
      <c r="O9" s="33"/>
      <c r="P9" s="33"/>
      <c r="R9" s="32"/>
    </row>
    <row r="10" spans="1:18">
      <c r="A10" s="32" t="s">
        <v>49</v>
      </c>
      <c r="B10" s="37">
        <f t="shared" si="0"/>
        <v>17502.645604756901</v>
      </c>
      <c r="C10" s="33"/>
      <c r="D10" s="37">
        <f>IF(ISERROR(TER_ander_gas_kWh/1000),0,TER_ander_gas_kWh/1000)*0.903</f>
        <v>48507.54372646541</v>
      </c>
      <c r="E10" s="33">
        <f>$C$30*'E Balans VL '!I14/100/3.6*1000000</f>
        <v>250.67651835540718</v>
      </c>
      <c r="F10" s="33">
        <f>$C$30*('E Balans VL '!L14+'E Balans VL '!N14)/100/3.6*1000000</f>
        <v>10419.920047710388</v>
      </c>
      <c r="G10" s="34"/>
      <c r="H10" s="33"/>
      <c r="I10" s="33"/>
      <c r="J10" s="33">
        <f>$C$30*('E Balans VL '!D14+'E Balans VL '!E14)/100/3.6*1000000</f>
        <v>0.17285297939106645</v>
      </c>
      <c r="K10" s="33"/>
      <c r="L10" s="33"/>
      <c r="M10" s="33"/>
      <c r="N10" s="33">
        <f>$C$30*'E Balans VL '!Y14/100/3.6*1000000</f>
        <v>6246.8157761215207</v>
      </c>
      <c r="O10" s="33"/>
      <c r="P10" s="33"/>
      <c r="R10" s="32"/>
    </row>
    <row r="11" spans="1:18">
      <c r="A11" s="32" t="s">
        <v>54</v>
      </c>
      <c r="B11" s="37">
        <f t="shared" si="0"/>
        <v>3015.2080587319601</v>
      </c>
      <c r="C11" s="33"/>
      <c r="D11" s="37">
        <f>IF(ISERROR(TER_onderwijs_gas_kWh/1000),0,TER_onderwijs_gas_kWh/1000)*0.903</f>
        <v>2885.9504044633068</v>
      </c>
      <c r="E11" s="33">
        <f>$C$31*'E Balans VL '!I11/100/3.6*1000000</f>
        <v>0</v>
      </c>
      <c r="F11" s="33">
        <f>$C$31*('E Balans VL '!L11+'E Balans VL '!N11)/100/3.6*1000000</f>
        <v>352.51372840797228</v>
      </c>
      <c r="G11" s="34"/>
      <c r="H11" s="33"/>
      <c r="I11" s="33"/>
      <c r="J11" s="33">
        <f>$C$31*('E Balans VL '!D11+'E Balans VL '!E11)/100/3.6*1000000</f>
        <v>0</v>
      </c>
      <c r="K11" s="33"/>
      <c r="L11" s="33"/>
      <c r="M11" s="33"/>
      <c r="N11" s="33">
        <f>$C$31*'E Balans VL '!Y11/100/3.6*1000000</f>
        <v>8.4904796533774327</v>
      </c>
      <c r="O11" s="33"/>
      <c r="P11" s="33"/>
      <c r="R11" s="32"/>
    </row>
    <row r="12" spans="1:18">
      <c r="A12" s="32" t="s">
        <v>255</v>
      </c>
      <c r="B12" s="37">
        <f t="shared" si="0"/>
        <v>2.8929340000000003</v>
      </c>
      <c r="C12" s="33"/>
      <c r="D12" s="37">
        <f>IF(ISERROR(TER_rest_gas_kWh/1000),0,TER_rest_gas_kWh/1000)*0.903</f>
        <v>0</v>
      </c>
      <c r="E12" s="33">
        <f>$C$32*'E Balans VL '!I8/100/3.6*1000000</f>
        <v>1.1492560856394874E-2</v>
      </c>
      <c r="F12" s="33">
        <f>$C$32*('E Balans VL '!L8+'E Balans VL '!N8)/100/3.6*1000000</f>
        <v>0.57250683000883118</v>
      </c>
      <c r="G12" s="34"/>
      <c r="H12" s="33"/>
      <c r="I12" s="33"/>
      <c r="J12" s="33">
        <f>$C$32*('E Balans VL '!D8+'E Balans VL '!E8)/100/3.6*1000000</f>
        <v>5.8471785300440994E-6</v>
      </c>
      <c r="K12" s="33"/>
      <c r="L12" s="33"/>
      <c r="M12" s="33"/>
      <c r="N12" s="33">
        <f>$C$32*'E Balans VL '!Y8/100/3.6*1000000</f>
        <v>0.2141651816178019</v>
      </c>
      <c r="O12" s="33"/>
      <c r="P12" s="33"/>
      <c r="R12" s="32"/>
    </row>
    <row r="13" spans="1:18">
      <c r="A13" s="16" t="s">
        <v>473</v>
      </c>
      <c r="B13" s="243">
        <f ca="1">'lokale energieproductie'!N42+'lokale energieproductie'!N35</f>
        <v>29088</v>
      </c>
      <c r="C13" s="243">
        <f ca="1">'lokale energieproductie'!O42+'lokale energieproductie'!O35</f>
        <v>41355.000000000007</v>
      </c>
      <c r="D13" s="304">
        <f ca="1">('lokale energieproductie'!P35+'lokale energieproductie'!P42)*(-1)</f>
        <v>-19362.857142857145</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-63745.71428571429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187421.11080932556</v>
      </c>
      <c r="C16" s="21">
        <f t="shared" ca="1" si="1"/>
        <v>41355.000000000007</v>
      </c>
      <c r="D16" s="21">
        <f t="shared" ca="1" si="1"/>
        <v>167572.96526668366</v>
      </c>
      <c r="E16" s="21">
        <f t="shared" si="1"/>
        <v>454.82654148126176</v>
      </c>
      <c r="F16" s="21">
        <f t="shared" ca="1" si="1"/>
        <v>24012.471765735969</v>
      </c>
      <c r="G16" s="21">
        <f t="shared" si="1"/>
        <v>0</v>
      </c>
      <c r="H16" s="21">
        <f t="shared" si="1"/>
        <v>0</v>
      </c>
      <c r="I16" s="21">
        <f t="shared" si="1"/>
        <v>0</v>
      </c>
      <c r="J16" s="21">
        <f t="shared" si="1"/>
        <v>0.1728588265695965</v>
      </c>
      <c r="K16" s="21">
        <f t="shared" si="1"/>
        <v>0</v>
      </c>
      <c r="L16" s="21">
        <f t="shared" ca="1" si="1"/>
        <v>0</v>
      </c>
      <c r="M16" s="21">
        <f t="shared" si="1"/>
        <v>0</v>
      </c>
      <c r="N16" s="21">
        <f t="shared" ca="1" si="1"/>
        <v>0</v>
      </c>
      <c r="O16" s="21">
        <f>O5</f>
        <v>29.383564595046927</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0.18851345167800104</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35331.400515991074</v>
      </c>
      <c r="C20" s="23">
        <f t="shared" ref="C20:P20" ca="1" si="2">C16*C18</f>
        <v>3646.094766485684</v>
      </c>
      <c r="D20" s="23">
        <f t="shared" ca="1" si="2"/>
        <v>33849.738983870106</v>
      </c>
      <c r="E20" s="23">
        <f t="shared" si="2"/>
        <v>103.24562491624643</v>
      </c>
      <c r="F20" s="23">
        <f t="shared" ca="1" si="2"/>
        <v>6411.3299614515045</v>
      </c>
      <c r="G20" s="23">
        <f t="shared" si="2"/>
        <v>0</v>
      </c>
      <c r="H20" s="23">
        <f t="shared" si="2"/>
        <v>0</v>
      </c>
      <c r="I20" s="23">
        <f t="shared" si="2"/>
        <v>0</v>
      </c>
      <c r="J20" s="23">
        <f t="shared" si="2"/>
        <v>6.1192024605637156E-2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48891.035259910204</v>
      </c>
      <c r="C26" s="39">
        <f>IF(ISERROR(B26*3.6/1000000/'E Balans VL '!Z12*100),0,B26*3.6/1000000/'E Balans VL '!Z12*100)</f>
        <v>1.3788566643459261</v>
      </c>
      <c r="D26" s="233" t="s">
        <v>691</v>
      </c>
      <c r="F26" s="6"/>
    </row>
    <row r="27" spans="1:18">
      <c r="A27" s="228" t="s">
        <v>52</v>
      </c>
      <c r="B27" s="33">
        <f>IF(ISERROR(TER_horeca_ele_kWh/1000),0,TER_horeca_ele_kWh/1000)</f>
        <v>14661.886694475601</v>
      </c>
      <c r="C27" s="39">
        <f>IF(ISERROR(B27*3.6/1000000/'E Balans VL '!Z9*100),0,B27*3.6/1000000/'E Balans VL '!Z9*100)</f>
        <v>1.0869987818497369</v>
      </c>
      <c r="D27" s="233" t="s">
        <v>691</v>
      </c>
      <c r="F27" s="6"/>
    </row>
    <row r="28" spans="1:18">
      <c r="A28" s="168" t="s">
        <v>51</v>
      </c>
      <c r="B28" s="33">
        <f>IF(ISERROR(TER_handel_ele_kWh/1000),0,TER_handel_ele_kWh/1000)</f>
        <v>54752.582028897705</v>
      </c>
      <c r="C28" s="39">
        <f>IF(ISERROR(B28*3.6/1000000/'E Balans VL '!Z13*100),0,B28*3.6/1000000/'E Balans VL '!Z13*100)</f>
        <v>1.6402571784616597</v>
      </c>
      <c r="D28" s="233" t="s">
        <v>691</v>
      </c>
      <c r="F28" s="6"/>
    </row>
    <row r="29" spans="1:18">
      <c r="A29" s="228" t="s">
        <v>50</v>
      </c>
      <c r="B29" s="33">
        <f>IF(ISERROR(TER_gezond_ele_kWh/1000),0,TER_gezond_ele_kWh/1000)</f>
        <v>19506.8602285532</v>
      </c>
      <c r="C29" s="39">
        <f>IF(ISERROR(B29*3.6/1000000/'E Balans VL '!Z10*100),0,B29*3.6/1000000/'E Balans VL '!Z10*100)</f>
        <v>1.9288459850763762</v>
      </c>
      <c r="D29" s="233" t="s">
        <v>691</v>
      </c>
      <c r="F29" s="6"/>
    </row>
    <row r="30" spans="1:18">
      <c r="A30" s="228" t="s">
        <v>49</v>
      </c>
      <c r="B30" s="33">
        <f>IF(ISERROR(TER_ander_ele_kWh/1000),0,TER_ander_ele_kWh/1000)</f>
        <v>17502.645604756901</v>
      </c>
      <c r="C30" s="39">
        <f>IF(ISERROR(B30*3.6/1000000/'E Balans VL '!Z14*100),0,B30*3.6/1000000/'E Balans VL '!Z14*100)</f>
        <v>0.70793029102143246</v>
      </c>
      <c r="D30" s="233" t="s">
        <v>691</v>
      </c>
      <c r="F30" s="6"/>
    </row>
    <row r="31" spans="1:18">
      <c r="A31" s="228" t="s">
        <v>54</v>
      </c>
      <c r="B31" s="33">
        <f>IF(ISERROR(TER_onderwijs_ele_kWh/1000),0,TER_onderwijs_ele_kWh/1000)</f>
        <v>3015.2080587319601</v>
      </c>
      <c r="C31" s="39">
        <f>IF(ISERROR(B31*3.6/1000000/'E Balans VL '!Z11*100),0,B31*3.6/1000000/'E Balans VL '!Z11*100)</f>
        <v>0.82840952276069835</v>
      </c>
      <c r="D31" s="233" t="s">
        <v>691</v>
      </c>
    </row>
    <row r="32" spans="1:18">
      <c r="A32" s="228" t="s">
        <v>255</v>
      </c>
      <c r="B32" s="33">
        <f>IF(ISERROR(TER_rest_ele_kWh/1000),0,TER_rest_ele_kWh/1000)</f>
        <v>2.8929340000000003</v>
      </c>
      <c r="C32" s="39">
        <f>IF(ISERROR(B32*3.6/1000000/'E Balans VL '!Z8*100),0,B32*3.6/1000000/'E Balans VL '!Z8*100)</f>
        <v>2.3947488860248871E-5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212335.17621990037</v>
      </c>
      <c r="C5" s="17">
        <f>IF(ISERROR('Eigen informatie GS &amp; warmtenet'!B61),0,'Eigen informatie GS &amp; warmtenet'!B61)</f>
        <v>0</v>
      </c>
      <c r="D5" s="30">
        <f>SUM(D6:D15)</f>
        <v>305578.02873333846</v>
      </c>
      <c r="E5" s="17">
        <f>SUM(E6:E15)</f>
        <v>1327.8989726463569</v>
      </c>
      <c r="F5" s="17">
        <f>SUM(F6:F15)</f>
        <v>25029.756723036593</v>
      </c>
      <c r="G5" s="18"/>
      <c r="H5" s="17"/>
      <c r="I5" s="17"/>
      <c r="J5" s="17">
        <f>SUM(J6:J15)</f>
        <v>24.732158998970831</v>
      </c>
      <c r="K5" s="17"/>
      <c r="L5" s="17"/>
      <c r="M5" s="17"/>
      <c r="N5" s="17">
        <f>SUM(N6:N15)</f>
        <v>10269.443759030182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27839.750995731702</v>
      </c>
      <c r="C8" s="33"/>
      <c r="D8" s="37">
        <f>IF( ISERROR(IND_metaal_Gas_kWH/1000),0,IND_metaal_Gas_kWH/1000)*0.903</f>
        <v>26537.807460794083</v>
      </c>
      <c r="E8" s="33">
        <f>C30*'E Balans VL '!I18/100/3.6*1000000</f>
        <v>140.37288198146365</v>
      </c>
      <c r="F8" s="33">
        <f>C30*'E Balans VL '!L18/100/3.6*1000000+C30*'E Balans VL '!N18/100/3.6*1000000</f>
        <v>1902.06867719616</v>
      </c>
      <c r="G8" s="34"/>
      <c r="H8" s="33"/>
      <c r="I8" s="33"/>
      <c r="J8" s="40">
        <f>C30*'E Balans VL '!D18/100/3.6*1000000+C30*'E Balans VL '!E18/100/3.6*1000000</f>
        <v>24.682314019068905</v>
      </c>
      <c r="K8" s="33"/>
      <c r="L8" s="33"/>
      <c r="M8" s="33"/>
      <c r="N8" s="33">
        <f>C30*'E Balans VL '!Y18/100/3.6*1000000</f>
        <v>369.9904559490364</v>
      </c>
      <c r="O8" s="33"/>
      <c r="P8" s="33"/>
      <c r="R8" s="32"/>
    </row>
    <row r="9" spans="1:18">
      <c r="A9" s="6" t="s">
        <v>32</v>
      </c>
      <c r="B9" s="37">
        <f t="shared" si="0"/>
        <v>32917.623567886403</v>
      </c>
      <c r="C9" s="33"/>
      <c r="D9" s="37">
        <f>IF( ISERROR(IND_andere_gas_kWh/1000),0,IND_andere_gas_kWh/1000)*0.903</f>
        <v>9421.2893451333712</v>
      </c>
      <c r="E9" s="33">
        <f>C31*'E Balans VL '!I19/100/3.6*1000000</f>
        <v>103.76412934594191</v>
      </c>
      <c r="F9" s="33">
        <f>C31*'E Balans VL '!L19/100/3.6*1000000+C31*'E Balans VL '!N19/100/3.6*1000000</f>
        <v>20150.784675430263</v>
      </c>
      <c r="G9" s="34"/>
      <c r="H9" s="33"/>
      <c r="I9" s="33"/>
      <c r="J9" s="40">
        <f>C31*'E Balans VL '!D19/100/3.6*1000000+C31*'E Balans VL '!E19/100/3.6*1000000</f>
        <v>0</v>
      </c>
      <c r="K9" s="33"/>
      <c r="L9" s="33"/>
      <c r="M9" s="33"/>
      <c r="N9" s="33">
        <f>C31*'E Balans VL '!Y19/100/3.6*1000000</f>
        <v>1380.2806524375351</v>
      </c>
      <c r="O9" s="33"/>
      <c r="P9" s="33"/>
      <c r="R9" s="32"/>
    </row>
    <row r="10" spans="1:18">
      <c r="A10" s="6" t="s">
        <v>40</v>
      </c>
      <c r="B10" s="37">
        <f t="shared" si="0"/>
        <v>103258.160762349</v>
      </c>
      <c r="C10" s="33"/>
      <c r="D10" s="37">
        <f>IF( ISERROR(IND_voed_gas_kWh/1000),0,IND_voed_gas_kWh/1000)*0.903</f>
        <v>182982.69167694132</v>
      </c>
      <c r="E10" s="33">
        <f>C32*'E Balans VL '!I20/100/3.6*1000000</f>
        <v>164.56450890229874</v>
      </c>
      <c r="F10" s="33">
        <f>C32*'E Balans VL '!L20/100/3.6*1000000+C32*'E Balans VL '!N20/100/3.6*1000000</f>
        <v>1677.6942698816479</v>
      </c>
      <c r="G10" s="34"/>
      <c r="H10" s="33"/>
      <c r="I10" s="33"/>
      <c r="J10" s="40">
        <f>C32*'E Balans VL '!D20/100/3.6*1000000+C32*'E Balans VL '!E20/100/3.6*1000000</f>
        <v>0</v>
      </c>
      <c r="K10" s="33"/>
      <c r="L10" s="33"/>
      <c r="M10" s="33"/>
      <c r="N10" s="33">
        <f>C32*'E Balans VL '!Y20/100/3.6*1000000</f>
        <v>3261.4084265337456</v>
      </c>
      <c r="O10" s="33"/>
      <c r="P10" s="33"/>
      <c r="R10" s="32"/>
    </row>
    <row r="11" spans="1:18">
      <c r="A11" s="6" t="s">
        <v>39</v>
      </c>
      <c r="B11" s="37">
        <f t="shared" si="0"/>
        <v>3173.78041159755</v>
      </c>
      <c r="C11" s="33"/>
      <c r="D11" s="37">
        <f>IF( ISERROR(IND_textiel_gas_kWh/1000),0,IND_textiel_gas_kWh/1000)*0.903</f>
        <v>895.84227430008525</v>
      </c>
      <c r="E11" s="33">
        <f>C33*'E Balans VL '!I21/100/3.6*1000000</f>
        <v>4.6045754366394744</v>
      </c>
      <c r="F11" s="33">
        <f>C33*'E Balans VL '!L21/100/3.6*1000000+C33*'E Balans VL '!N21/100/3.6*1000000</f>
        <v>62.112921863345917</v>
      </c>
      <c r="G11" s="34"/>
      <c r="H11" s="33"/>
      <c r="I11" s="33"/>
      <c r="J11" s="40">
        <f>C33*'E Balans VL '!D21/100/3.6*1000000+C33*'E Balans VL '!E21/100/3.6*1000000</f>
        <v>0</v>
      </c>
      <c r="K11" s="33"/>
      <c r="L11" s="33"/>
      <c r="M11" s="33"/>
      <c r="N11" s="33">
        <f>C33*'E Balans VL '!Y21/100/3.6*1000000</f>
        <v>154.61937862175066</v>
      </c>
      <c r="O11" s="33"/>
      <c r="P11" s="33"/>
      <c r="R11" s="32"/>
    </row>
    <row r="12" spans="1:18">
      <c r="A12" s="6" t="s">
        <v>36</v>
      </c>
      <c r="B12" s="37">
        <f t="shared" si="0"/>
        <v>29911.569927635901</v>
      </c>
      <c r="C12" s="33"/>
      <c r="D12" s="37">
        <f>IF( ISERROR(IND_min_gas_kWh/1000),0,IND_min_gas_kWh/1000)*0.903</f>
        <v>44256.388891064402</v>
      </c>
      <c r="E12" s="33">
        <f>C34*'E Balans VL '!I22/100/3.6*1000000</f>
        <v>129.43546265882472</v>
      </c>
      <c r="F12" s="33">
        <f>C34*'E Balans VL '!L22/100/3.6*1000000+C34*'E Balans VL '!N22/100/3.6*1000000</f>
        <v>1142.0606635568731</v>
      </c>
      <c r="G12" s="34"/>
      <c r="H12" s="33"/>
      <c r="I12" s="33"/>
      <c r="J12" s="40">
        <f>C34*'E Balans VL '!D22/100/3.6*1000000+C34*'E Balans VL '!E22/100/3.6*1000000</f>
        <v>0</v>
      </c>
      <c r="K12" s="33"/>
      <c r="L12" s="33"/>
      <c r="M12" s="33"/>
      <c r="N12" s="33">
        <f>C34*'E Balans VL '!Y22/100/3.6*1000000</f>
        <v>5102.2400288878725</v>
      </c>
      <c r="O12" s="33"/>
      <c r="P12" s="33"/>
      <c r="R12" s="32"/>
    </row>
    <row r="13" spans="1:18">
      <c r="A13" s="6" t="s">
        <v>38</v>
      </c>
      <c r="B13" s="37">
        <f t="shared" si="0"/>
        <v>1808.94201754694</v>
      </c>
      <c r="C13" s="33"/>
      <c r="D13" s="37">
        <f>IF( ISERROR(IND_papier_gas_kWh/1000),0,IND_papier_gas_kWh/1000)*0.903</f>
        <v>1060.584079561545</v>
      </c>
      <c r="E13" s="33">
        <f>C35*'E Balans VL '!I23/100/3.6*1000000</f>
        <v>0</v>
      </c>
      <c r="F13" s="33">
        <f>C35*'E Balans VL '!L23/100/3.6*1000000+C35*'E Balans VL '!N23/100/3.6*1000000</f>
        <v>7.8371779563189248E-2</v>
      </c>
      <c r="G13" s="34"/>
      <c r="H13" s="33"/>
      <c r="I13" s="33"/>
      <c r="J13" s="40">
        <f>C35*'E Balans VL '!D23/100/3.6*1000000+C35*'E Balans VL '!E23/100/3.6*1000000</f>
        <v>4.9844979901925962E-2</v>
      </c>
      <c r="K13" s="33"/>
      <c r="L13" s="33"/>
      <c r="M13" s="33"/>
      <c r="N13" s="33">
        <f>C35*'E Balans VL '!Y23/100/3.6*1000000</f>
        <v>0</v>
      </c>
      <c r="O13" s="33"/>
      <c r="P13" s="33"/>
      <c r="R13" s="32"/>
    </row>
    <row r="14" spans="1:18">
      <c r="A14" s="6" t="s">
        <v>33</v>
      </c>
      <c r="B14" s="37">
        <f t="shared" si="0"/>
        <v>13425.348537152899</v>
      </c>
      <c r="C14" s="33"/>
      <c r="D14" s="37">
        <f>IF( ISERROR(IND_chemie_gas_kWh/1000),0,IND_chemie_gas_kWh/1000)*0.903</f>
        <v>40423.425005543693</v>
      </c>
      <c r="E14" s="33">
        <f>C36*'E Balans VL '!I24/100/3.6*1000000</f>
        <v>785.15741432118841</v>
      </c>
      <c r="F14" s="33">
        <f>C36*'E Balans VL '!L24/100/3.6*1000000+C36*'E Balans VL '!N24/100/3.6*1000000</f>
        <v>94.957143328738127</v>
      </c>
      <c r="G14" s="34"/>
      <c r="H14" s="33"/>
      <c r="I14" s="33"/>
      <c r="J14" s="40">
        <f>C36*'E Balans VL '!D24/100/3.6*1000000+C36*'E Balans VL '!E24/100/3.6*1000000</f>
        <v>0</v>
      </c>
      <c r="K14" s="33"/>
      <c r="L14" s="33"/>
      <c r="M14" s="33"/>
      <c r="N14" s="33">
        <f>C36*'E Balans VL '!Y24/100/3.6*1000000</f>
        <v>0.90481660024263011</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energieproductie'!N41+'lokale energieproductie'!N34</f>
        <v>6300</v>
      </c>
      <c r="C16" s="243">
        <f>'lokale energieproductie'!O41+'lokale energieproductie'!O34</f>
        <v>9000</v>
      </c>
      <c r="D16" s="304">
        <f>('lokale energieproductie'!P34+'lokale energieproductie'!P41)*(-1)</f>
        <v>-18000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218635.17621990037</v>
      </c>
      <c r="C18" s="21">
        <f>C5+C16</f>
        <v>9000</v>
      </c>
      <c r="D18" s="21">
        <f>MAX((D5+D16),0)</f>
        <v>287578.02873333846</v>
      </c>
      <c r="E18" s="21">
        <f>MAX((E5+E16),0)</f>
        <v>1327.8989726463569</v>
      </c>
      <c r="F18" s="21">
        <f>MAX((F5+F16),0)</f>
        <v>25029.756723036593</v>
      </c>
      <c r="G18" s="21"/>
      <c r="H18" s="21"/>
      <c r="I18" s="21"/>
      <c r="J18" s="21">
        <f>MAX((J5+J16),0)</f>
        <v>24.732158998970831</v>
      </c>
      <c r="K18" s="21"/>
      <c r="L18" s="21">
        <f>MAX((L5+L16),0)</f>
        <v>0</v>
      </c>
      <c r="M18" s="21"/>
      <c r="N18" s="21">
        <f>MAX((N5+N16),0)</f>
        <v>10269.443759030182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0.18851345167800104</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41215.671727441433</v>
      </c>
      <c r="C22" s="23">
        <f ca="1">C18*C20</f>
        <v>793.49178813616606</v>
      </c>
      <c r="D22" s="23">
        <f>D18*D20</f>
        <v>58090.761804134374</v>
      </c>
      <c r="E22" s="23">
        <f>E18*E20</f>
        <v>301.43306679072305</v>
      </c>
      <c r="F22" s="23">
        <f>F18*F20</f>
        <v>6682.9450450507711</v>
      </c>
      <c r="G22" s="23"/>
      <c r="H22" s="23"/>
      <c r="I22" s="23"/>
      <c r="J22" s="23">
        <f>J18*J20</f>
        <v>8.7551842856356732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27839.750995731702</v>
      </c>
      <c r="C30" s="39">
        <f>IF(ISERROR(B30*3.6/1000000/'E Balans VL '!Z18*100),0,B30*3.6/1000000/'E Balans VL '!Z18*100)</f>
        <v>1.3819024956243824</v>
      </c>
      <c r="D30" s="233" t="s">
        <v>691</v>
      </c>
    </row>
    <row r="31" spans="1:18">
      <c r="A31" s="6" t="s">
        <v>32</v>
      </c>
      <c r="B31" s="37">
        <f>IF( ISERROR(IND_ander_ele_kWh/1000),0,IND_ander_ele_kWh/1000)</f>
        <v>32917.623567886403</v>
      </c>
      <c r="C31" s="39">
        <f>IF(ISERROR(B31*3.6/1000000/'E Balans VL '!Z19*100),0,B31*3.6/1000000/'E Balans VL '!Z19*100)</f>
        <v>1.110801115075905</v>
      </c>
      <c r="D31" s="233" t="s">
        <v>691</v>
      </c>
    </row>
    <row r="32" spans="1:18">
      <c r="A32" s="168" t="s">
        <v>40</v>
      </c>
      <c r="B32" s="37">
        <f>IF( ISERROR(IND_voed_ele_kWh/1000),0,IND_voed_ele_kWh/1000)</f>
        <v>103258.160762349</v>
      </c>
      <c r="C32" s="39">
        <f>IF(ISERROR(B32*3.6/1000000/'E Balans VL '!Z20*100),0,B32*3.6/1000000/'E Balans VL '!Z20*100)</f>
        <v>2.4249469754375257</v>
      </c>
      <c r="D32" s="233" t="s">
        <v>691</v>
      </c>
    </row>
    <row r="33" spans="1:5">
      <c r="A33" s="168" t="s">
        <v>39</v>
      </c>
      <c r="B33" s="37">
        <f>IF( ISERROR(IND_textiel_ele_kWh/1000),0,IND_textiel_ele_kWh/1000)</f>
        <v>3173.78041159755</v>
      </c>
      <c r="C33" s="39">
        <f>IF(ISERROR(B33*3.6/1000000/'E Balans VL '!Z21*100),0,B33*3.6/1000000/'E Balans VL '!Z21*100)</f>
        <v>0.34831837722004844</v>
      </c>
      <c r="D33" s="233" t="s">
        <v>691</v>
      </c>
    </row>
    <row r="34" spans="1:5">
      <c r="A34" s="168" t="s">
        <v>36</v>
      </c>
      <c r="B34" s="37">
        <f>IF( ISERROR(IND_min_ele_kWh/1000),0,IND_min_ele_kWh/1000)</f>
        <v>29911.569927635901</v>
      </c>
      <c r="C34" s="39">
        <f>IF(ISERROR(B34*3.6/1000000/'E Balans VL '!Z22*100),0,B34*3.6/1000000/'E Balans VL '!Z22*100)</f>
        <v>4.243577115024193</v>
      </c>
      <c r="D34" s="233" t="s">
        <v>691</v>
      </c>
    </row>
    <row r="35" spans="1:5">
      <c r="A35" s="168" t="s">
        <v>38</v>
      </c>
      <c r="B35" s="37">
        <f>IF( ISERROR(IND_papier_ele_kWh/1000),0,IND_papier_ele_kWh/1000)</f>
        <v>1808.94201754694</v>
      </c>
      <c r="C35" s="39">
        <f>IF(ISERROR(B35*3.6/1000000/'E Balans VL '!Z22*100),0,B35*3.6/1000000/'E Balans VL '!Z22*100)</f>
        <v>0.25663597620048423</v>
      </c>
      <c r="D35" s="233" t="s">
        <v>691</v>
      </c>
    </row>
    <row r="36" spans="1:5">
      <c r="A36" s="168" t="s">
        <v>33</v>
      </c>
      <c r="B36" s="37">
        <f>IF( ISERROR(IND_chemie_ele_kWh/1000),0,IND_chemie_ele_kWh/1000)</f>
        <v>13425.348537152899</v>
      </c>
      <c r="C36" s="39">
        <f>IF(ISERROR(B36*3.6/1000000/'E Balans VL '!Z24*100),0,B36*3.6/1000000/'E Balans VL '!Z24*100)</f>
        <v>0.12259464662677622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3224.3886729258602</v>
      </c>
      <c r="C5" s="17">
        <f>'Eigen informatie GS &amp; warmtenet'!B62</f>
        <v>0</v>
      </c>
      <c r="D5" s="30">
        <f>IF(ISERROR(SUM(LB_lb_gas_kWh,LB_rest_gas_kWh)/1000),0,SUM(LB_lb_gas_kWh,LB_rest_gas_kWh)/1000)*0.903</f>
        <v>1905.9595741926303</v>
      </c>
      <c r="E5" s="17">
        <f>B17*'E Balans VL '!I25/3.6*1000000/100</f>
        <v>120.24731631479231</v>
      </c>
      <c r="F5" s="17">
        <f>B17*('E Balans VL '!L25/3.6*1000000+'E Balans VL '!N25/3.6*1000000)/100</f>
        <v>10461.162807799228</v>
      </c>
      <c r="G5" s="18"/>
      <c r="H5" s="17"/>
      <c r="I5" s="17"/>
      <c r="J5" s="17">
        <f>('E Balans VL '!D25+'E Balans VL '!E25)/3.6*1000000*landbouw!B17/100</f>
        <v>846.41794515047911</v>
      </c>
      <c r="K5" s="17"/>
      <c r="L5" s="17">
        <f>L6*(-1)</f>
        <v>0</v>
      </c>
      <c r="M5" s="17"/>
      <c r="N5" s="17">
        <f>N6*(-1)</f>
        <v>0</v>
      </c>
      <c r="O5" s="17"/>
      <c r="P5" s="17"/>
      <c r="R5" s="32"/>
    </row>
    <row r="6" spans="1:18">
      <c r="A6" s="16" t="s">
        <v>473</v>
      </c>
      <c r="B6" s="17" t="s">
        <v>210</v>
      </c>
      <c r="C6" s="17">
        <f>'lokale energieproductie'!O43+'lokale energieproductie'!O36</f>
        <v>0</v>
      </c>
      <c r="D6" s="304">
        <f>('lokale energieproductie'!P36+'lokale energieproductie'!P43)*(-1)</f>
        <v>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3224.3886729258602</v>
      </c>
      <c r="C8" s="21">
        <f>C5+C6</f>
        <v>0</v>
      </c>
      <c r="D8" s="21">
        <f>MAX((D5+D6),0)</f>
        <v>1905.9595741926303</v>
      </c>
      <c r="E8" s="21">
        <f>MAX((E5+E6),0)</f>
        <v>120.24731631479231</v>
      </c>
      <c r="F8" s="21">
        <f>MAX((F5+F6),0)</f>
        <v>10461.162807799228</v>
      </c>
      <c r="G8" s="21"/>
      <c r="H8" s="21"/>
      <c r="I8" s="21"/>
      <c r="J8" s="21">
        <f>MAX((J5+J6),0)</f>
        <v>846.41794515047911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0.18851345167800104</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607.840638284703</v>
      </c>
      <c r="C12" s="23">
        <f ca="1">C8*C10</f>
        <v>0</v>
      </c>
      <c r="D12" s="23">
        <f>D8*D10</f>
        <v>385.00383398691133</v>
      </c>
      <c r="E12" s="23">
        <f>E8*E10</f>
        <v>27.296140803457856</v>
      </c>
      <c r="F12" s="23">
        <f>F8*F10</f>
        <v>2793.1304696823941</v>
      </c>
      <c r="G12" s="23"/>
      <c r="H12" s="23"/>
      <c r="I12" s="23"/>
      <c r="J12" s="23">
        <f>J8*J10</f>
        <v>299.63195258326959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0.4428613701249442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222.27955003553149</v>
      </c>
      <c r="C26" s="243">
        <f>B26*'GWP N2O_CH4'!B5</f>
        <v>4667.8705507461609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254.57865078005364</v>
      </c>
      <c r="C27" s="243">
        <f>B27*'GWP N2O_CH4'!B5</f>
        <v>5346.1516663811262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3.8571724922037234</v>
      </c>
      <c r="C28" s="243">
        <f>B28*'GWP N2O_CH4'!B4</f>
        <v>1195.7234725831543</v>
      </c>
      <c r="D28" s="50"/>
    </row>
    <row r="29" spans="1:4">
      <c r="A29" s="41" t="s">
        <v>272</v>
      </c>
      <c r="B29" s="243">
        <f>B34*'ha_N2O bodem landbouw'!B4</f>
        <v>15.253263977521105</v>
      </c>
      <c r="C29" s="243">
        <f>B29*'GWP N2O_CH4'!B4</f>
        <v>4728.5118330315427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3.476262420929477E-3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1.5264739624580375E-3</v>
      </c>
      <c r="C5" s="434" t="s">
        <v>210</v>
      </c>
      <c r="D5" s="419">
        <f>SUM(D6:D11)</f>
        <v>2.7059169665090126E-3</v>
      </c>
      <c r="E5" s="419">
        <f>SUM(E6:E11)</f>
        <v>1.5572651713312022E-3</v>
      </c>
      <c r="F5" s="432" t="s">
        <v>210</v>
      </c>
      <c r="G5" s="419">
        <f>SUM(G6:G11)</f>
        <v>0.76253324791054611</v>
      </c>
      <c r="H5" s="419">
        <f>SUM(H6:H11)</f>
        <v>0.16596454409518416</v>
      </c>
      <c r="I5" s="434" t="s">
        <v>210</v>
      </c>
      <c r="J5" s="434" t="s">
        <v>210</v>
      </c>
      <c r="K5" s="434" t="s">
        <v>210</v>
      </c>
      <c r="L5" s="434" t="s">
        <v>210</v>
      </c>
      <c r="M5" s="419">
        <f>SUM(M6:M11)</f>
        <v>5.4468900277197314E-2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6.5821335634224905E-4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1.1437678588405603E-3</v>
      </c>
      <c r="E6" s="885">
        <f>vkm_GW_PW*SUMIFS(TableVerdeelsleutelVkm[LPG],TableVerdeelsleutelVkm[Voertuigtype],"Lichte voertuigen")*SUMIFS(TableECFTransport[EnergieConsumptieFactor (PJ per km)],TableECFTransport[Index],CONCATENATE($A6,"_LPG_LPG"))</f>
        <v>6.3600954101805988E-4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0.19112691421841771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6.9685511867040306E-2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1.5605052110682496E-2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3.9793390656126622E-6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0.16469488683779593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1.6754685414013187E-6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9.2725760395942335E-3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4.2279513569244915E-4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9.4331604814580779E-4</v>
      </c>
      <c r="E8" s="422">
        <f>vkm_NGW_PW*SUMIFS(TableVerdeelsleutelVkm[LPG],TableVerdeelsleutelVkm[Voertuigtype],"Lichte voertuigen")*SUMIFS(TableECFTransport[EnergieConsumptieFactor (PJ per km)],TableECFTransport[Index],CONCATENATE($A8,"_LPG_LPG"))</f>
        <v>5.0240817261528283E-4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0.13894547099987797</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5.676900987850482E-2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1.1769254672315883E-2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8.7387786917103934E-7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4.6575466775715536E-2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4.4411201197391945E-7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2.6222685197563665E-3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4.3788170954804596E-4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6.1883305952264457E-4</v>
      </c>
      <c r="E10" s="422">
        <f>vkm_SW_PW*SUMIFS(TableVerdeelsleutelVkm[LPG],TableVerdeelsleutelVkm[Voertuigtype],"Lichte voertuigen")*SUMIFS(TableECFTransport[EnergieConsumptieFactor (PJ per km)],TableECFTransport[Index],CONCATENATE($A10,"_LPG_LPG"))</f>
        <v>4.1884745769785973E-4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0.11442722467455199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3.9506719441629E-2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9.188804667910876E-3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2.7305439405095747E-6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0.10676328440418688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1.1833274566633463E-6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6.0109442669374624E-3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424.02054512723265</v>
      </c>
      <c r="C14" s="21"/>
      <c r="D14" s="21">
        <f t="shared" ref="D14:M14" si="0">((D5)*10^9/3600)+D12</f>
        <v>751.64360180805897</v>
      </c>
      <c r="E14" s="21">
        <f t="shared" si="0"/>
        <v>432.57365870311173</v>
      </c>
      <c r="F14" s="21"/>
      <c r="G14" s="21">
        <f t="shared" si="0"/>
        <v>211814.79108626279</v>
      </c>
      <c r="H14" s="21">
        <f t="shared" si="0"/>
        <v>46101.262248662264</v>
      </c>
      <c r="I14" s="21"/>
      <c r="J14" s="21"/>
      <c r="K14" s="21"/>
      <c r="L14" s="21"/>
      <c r="M14" s="21">
        <f t="shared" si="0"/>
        <v>15130.250076999255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0.18851345167800104</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79.933576544322236</v>
      </c>
      <c r="C18" s="23"/>
      <c r="D18" s="23">
        <f t="shared" ref="D18:M18" si="1">D14*D16</f>
        <v>151.83200756522791</v>
      </c>
      <c r="E18" s="23">
        <f t="shared" si="1"/>
        <v>98.194220525606369</v>
      </c>
      <c r="F18" s="23"/>
      <c r="G18" s="23">
        <f t="shared" si="1"/>
        <v>56554.549220032168</v>
      </c>
      <c r="H18" s="23">
        <f t="shared" si="1"/>
        <v>11479.214299916905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2.3668889915437786E-4</v>
      </c>
      <c r="C50" s="315">
        <f t="shared" ref="C50:P50" si="2">SUM(C51:C52)</f>
        <v>0</v>
      </c>
      <c r="D50" s="315">
        <f t="shared" si="2"/>
        <v>0</v>
      </c>
      <c r="E50" s="315">
        <f t="shared" si="2"/>
        <v>0</v>
      </c>
      <c r="F50" s="315">
        <f t="shared" si="2"/>
        <v>0</v>
      </c>
      <c r="G50" s="315">
        <f t="shared" si="2"/>
        <v>1.6894426927924863E-2</v>
      </c>
      <c r="H50" s="315">
        <f t="shared" si="2"/>
        <v>0</v>
      </c>
      <c r="I50" s="315">
        <f t="shared" si="2"/>
        <v>0</v>
      </c>
      <c r="J50" s="315">
        <f t="shared" si="2"/>
        <v>0</v>
      </c>
      <c r="K50" s="315">
        <f t="shared" si="2"/>
        <v>0</v>
      </c>
      <c r="L50" s="315">
        <f t="shared" si="2"/>
        <v>0</v>
      </c>
      <c r="M50" s="315">
        <f t="shared" si="2"/>
        <v>9.3288649881980703E-4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2.3668889915437786E-4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1.6894426927924863E-2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9.3288649881980703E-4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65.746916431771623</v>
      </c>
      <c r="C54" s="21">
        <f t="shared" ref="C54:P54" si="3">(C50)*10^9/3600</f>
        <v>0</v>
      </c>
      <c r="D54" s="21">
        <f t="shared" si="3"/>
        <v>0</v>
      </c>
      <c r="E54" s="21">
        <f t="shared" si="3"/>
        <v>0</v>
      </c>
      <c r="F54" s="21">
        <f t="shared" si="3"/>
        <v>0</v>
      </c>
      <c r="G54" s="21">
        <f t="shared" si="3"/>
        <v>4692.8963688680178</v>
      </c>
      <c r="H54" s="21">
        <f t="shared" si="3"/>
        <v>0</v>
      </c>
      <c r="I54" s="21">
        <f t="shared" si="3"/>
        <v>0</v>
      </c>
      <c r="J54" s="21">
        <f t="shared" si="3"/>
        <v>0</v>
      </c>
      <c r="K54" s="21">
        <f t="shared" si="3"/>
        <v>0</v>
      </c>
      <c r="L54" s="21">
        <f t="shared" si="3"/>
        <v>0</v>
      </c>
      <c r="M54" s="21">
        <f t="shared" si="3"/>
        <v>259.13513856105754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0.18851345167800104</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12.394178153738352</v>
      </c>
      <c r="C58" s="23">
        <f t="shared" ref="C58:P58" ca="1" si="4">C54*C56</f>
        <v>0</v>
      </c>
      <c r="D58" s="23">
        <f t="shared" si="4"/>
        <v>0</v>
      </c>
      <c r="E58" s="23">
        <f t="shared" si="4"/>
        <v>0</v>
      </c>
      <c r="F58" s="23">
        <f t="shared" si="4"/>
        <v>0</v>
      </c>
      <c r="G58" s="23">
        <f t="shared" si="4"/>
        <v>1253.0033304877609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23313.407664126065</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30845.669231171043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35248.5</v>
      </c>
      <c r="C8" s="544">
        <f>B52</f>
        <v>15384.705882352941</v>
      </c>
      <c r="D8" s="545"/>
      <c r="E8" s="545">
        <f>E52</f>
        <v>0</v>
      </c>
      <c r="F8" s="546"/>
      <c r="G8" s="547"/>
      <c r="H8" s="545">
        <f>I52</f>
        <v>0</v>
      </c>
      <c r="I8" s="545">
        <f>G52+F52</f>
        <v>0</v>
      </c>
      <c r="J8" s="545">
        <f>H52+D52+C52</f>
        <v>26084.117647058825</v>
      </c>
      <c r="K8" s="545"/>
      <c r="L8" s="545"/>
      <c r="M8" s="545"/>
      <c r="N8" s="548"/>
      <c r="O8" s="549">
        <f>C8*$C$12+D8*$D$12+E8*$E$12+F8*$F$12+G8*$G$12+H8*$H$12+I8*$I$12+J8*$J$12</f>
        <v>3107.7105882352944</v>
      </c>
      <c r="P8" s="1253"/>
      <c r="Q8" s="1254"/>
      <c r="S8" s="539"/>
      <c r="T8" s="1241"/>
      <c r="U8" s="1241"/>
    </row>
    <row r="9" spans="1:21" s="530" customFormat="1" ht="17.45" customHeight="1" thickBot="1">
      <c r="A9" s="550" t="s">
        <v>243</v>
      </c>
      <c r="B9" s="551">
        <f>N40+'Eigen informatie GS &amp; warmtenet'!B12</f>
        <v>139.5</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89547.076895297112</v>
      </c>
      <c r="C10" s="559">
        <f t="shared" ref="C10:L10" si="0">SUM(C8:C9)</f>
        <v>15384.705882352941</v>
      </c>
      <c r="D10" s="559">
        <f t="shared" si="0"/>
        <v>0</v>
      </c>
      <c r="E10" s="559">
        <f t="shared" si="0"/>
        <v>0</v>
      </c>
      <c r="F10" s="559">
        <f t="shared" si="0"/>
        <v>0</v>
      </c>
      <c r="G10" s="559">
        <f t="shared" si="0"/>
        <v>0</v>
      </c>
      <c r="H10" s="559">
        <f t="shared" si="0"/>
        <v>0</v>
      </c>
      <c r="I10" s="559">
        <f t="shared" si="0"/>
        <v>0</v>
      </c>
      <c r="J10" s="559">
        <f t="shared" si="0"/>
        <v>26482.689075630253</v>
      </c>
      <c r="K10" s="559">
        <f t="shared" si="0"/>
        <v>0</v>
      </c>
      <c r="L10" s="559">
        <f t="shared" si="0"/>
        <v>0</v>
      </c>
      <c r="M10" s="960"/>
      <c r="N10" s="960"/>
      <c r="O10" s="560">
        <f>SUM(O4:O9)</f>
        <v>3107.7105882352944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50355.000000000007</v>
      </c>
      <c r="C17" s="575">
        <f>B53</f>
        <v>21978.151260504208</v>
      </c>
      <c r="D17" s="576"/>
      <c r="E17" s="576">
        <f>E53</f>
        <v>0</v>
      </c>
      <c r="F17" s="577"/>
      <c r="G17" s="578"/>
      <c r="H17" s="575">
        <f>I53</f>
        <v>0</v>
      </c>
      <c r="I17" s="576">
        <f>G53+F53</f>
        <v>0</v>
      </c>
      <c r="J17" s="576">
        <f>H53+D53+C53</f>
        <v>37263.025210084044</v>
      </c>
      <c r="K17" s="576"/>
      <c r="L17" s="576"/>
      <c r="M17" s="576"/>
      <c r="N17" s="961"/>
      <c r="O17" s="579">
        <f>C17*$C$22+E17*$E$22+H17*$H$22+I17*$I$22+J17*$J$22+D17*$D$22+F17*$F$22+G17*$G$22+K17*$K$22+L17*$L$22</f>
        <v>4439.5865546218502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50355.000000000007</v>
      </c>
      <c r="C20" s="558">
        <f>SUM(C17:C19)</f>
        <v>21978.151260504208</v>
      </c>
      <c r="D20" s="558">
        <f t="shared" ref="D20:L20" si="1">SUM(D17:D19)</f>
        <v>0</v>
      </c>
      <c r="E20" s="558">
        <f t="shared" si="1"/>
        <v>0</v>
      </c>
      <c r="F20" s="558">
        <f t="shared" si="1"/>
        <v>0</v>
      </c>
      <c r="G20" s="558">
        <f t="shared" si="1"/>
        <v>0</v>
      </c>
      <c r="H20" s="558">
        <f t="shared" si="1"/>
        <v>0</v>
      </c>
      <c r="I20" s="558">
        <f t="shared" si="1"/>
        <v>0</v>
      </c>
      <c r="J20" s="558">
        <f t="shared" si="1"/>
        <v>37263.025210084044</v>
      </c>
      <c r="K20" s="558">
        <f t="shared" si="1"/>
        <v>0</v>
      </c>
      <c r="L20" s="558">
        <f t="shared" si="1"/>
        <v>0</v>
      </c>
      <c r="M20" s="558"/>
      <c r="N20" s="558"/>
      <c r="O20" s="584">
        <f>SUM(O17:O19)</f>
        <v>4439.5865546218502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36015</v>
      </c>
      <c r="C28" s="786">
        <v>8800</v>
      </c>
      <c r="D28" s="636" t="s">
        <v>883</v>
      </c>
      <c r="E28" s="635" t="s">
        <v>884</v>
      </c>
      <c r="F28" s="635" t="s">
        <v>885</v>
      </c>
      <c r="G28" s="635" t="s">
        <v>886</v>
      </c>
      <c r="H28" s="635" t="s">
        <v>887</v>
      </c>
      <c r="I28" s="635" t="s">
        <v>888</v>
      </c>
      <c r="J28" s="785">
        <v>39667</v>
      </c>
      <c r="K28" s="785">
        <v>39692</v>
      </c>
      <c r="L28" s="635" t="s">
        <v>889</v>
      </c>
      <c r="M28" s="635">
        <v>835</v>
      </c>
      <c r="N28" s="635">
        <v>3757.5</v>
      </c>
      <c r="O28" s="635">
        <v>5367.8571428571431</v>
      </c>
      <c r="P28" s="635">
        <v>0</v>
      </c>
      <c r="Q28" s="635">
        <v>10735.714285714286</v>
      </c>
      <c r="R28" s="635">
        <v>0</v>
      </c>
      <c r="S28" s="635">
        <v>0</v>
      </c>
      <c r="T28" s="635">
        <v>0</v>
      </c>
      <c r="U28" s="635">
        <v>0</v>
      </c>
      <c r="V28" s="635">
        <v>0</v>
      </c>
      <c r="W28" s="635">
        <v>0</v>
      </c>
      <c r="X28" s="635">
        <v>1600</v>
      </c>
      <c r="Y28" s="635" t="s">
        <v>49</v>
      </c>
      <c r="Z28" s="637" t="s">
        <v>155</v>
      </c>
    </row>
    <row r="29" spans="1:26" s="589" customFormat="1" ht="63.75">
      <c r="A29" s="588"/>
      <c r="B29" s="786">
        <v>36015</v>
      </c>
      <c r="C29" s="786">
        <v>8800</v>
      </c>
      <c r="D29" s="636" t="s">
        <v>890</v>
      </c>
      <c r="E29" s="635" t="s">
        <v>891</v>
      </c>
      <c r="F29" s="635" t="s">
        <v>892</v>
      </c>
      <c r="G29" s="635" t="s">
        <v>886</v>
      </c>
      <c r="H29" s="635" t="s">
        <v>887</v>
      </c>
      <c r="I29" s="635" t="s">
        <v>891</v>
      </c>
      <c r="J29" s="785">
        <v>39925</v>
      </c>
      <c r="K29" s="785">
        <v>39925</v>
      </c>
      <c r="L29" s="635" t="s">
        <v>889</v>
      </c>
      <c r="M29" s="635">
        <v>4024</v>
      </c>
      <c r="N29" s="635">
        <v>18108</v>
      </c>
      <c r="O29" s="635">
        <v>25868.571428571428</v>
      </c>
      <c r="P29" s="635">
        <v>12934.285714285716</v>
      </c>
      <c r="Q29" s="635">
        <v>38802.857142857145</v>
      </c>
      <c r="R29" s="635">
        <v>0</v>
      </c>
      <c r="S29" s="635">
        <v>0</v>
      </c>
      <c r="T29" s="635">
        <v>0</v>
      </c>
      <c r="U29" s="635">
        <v>0</v>
      </c>
      <c r="V29" s="635">
        <v>0</v>
      </c>
      <c r="W29" s="635">
        <v>0</v>
      </c>
      <c r="X29" s="635">
        <v>1600</v>
      </c>
      <c r="Y29" s="635" t="s">
        <v>49</v>
      </c>
      <c r="Z29" s="637" t="s">
        <v>155</v>
      </c>
    </row>
    <row r="30" spans="1:26" s="589" customFormat="1" ht="63.75">
      <c r="A30" s="588"/>
      <c r="B30" s="786">
        <v>36015</v>
      </c>
      <c r="C30" s="786">
        <v>8800</v>
      </c>
      <c r="D30" s="636" t="s">
        <v>893</v>
      </c>
      <c r="E30" s="635" t="s">
        <v>894</v>
      </c>
      <c r="F30" s="635" t="s">
        <v>895</v>
      </c>
      <c r="G30" s="635" t="s">
        <v>886</v>
      </c>
      <c r="H30" s="635" t="s">
        <v>887</v>
      </c>
      <c r="I30" s="635" t="s">
        <v>894</v>
      </c>
      <c r="J30" s="785">
        <v>40105</v>
      </c>
      <c r="K30" s="785">
        <v>40105</v>
      </c>
      <c r="L30" s="635" t="s">
        <v>889</v>
      </c>
      <c r="M30" s="635">
        <v>1074</v>
      </c>
      <c r="N30" s="635">
        <v>4833</v>
      </c>
      <c r="O30" s="635">
        <v>6904.2857142857147</v>
      </c>
      <c r="P30" s="635">
        <v>0</v>
      </c>
      <c r="Q30" s="635">
        <v>0</v>
      </c>
      <c r="R30" s="635">
        <v>13808.571428571429</v>
      </c>
      <c r="S30" s="635">
        <v>0</v>
      </c>
      <c r="T30" s="635">
        <v>0</v>
      </c>
      <c r="U30" s="635">
        <v>0</v>
      </c>
      <c r="V30" s="635">
        <v>0</v>
      </c>
      <c r="W30" s="635">
        <v>0</v>
      </c>
      <c r="X30" s="635">
        <v>1600</v>
      </c>
      <c r="Y30" s="635" t="s">
        <v>49</v>
      </c>
      <c r="Z30" s="637" t="s">
        <v>155</v>
      </c>
    </row>
    <row r="31" spans="1:26" s="589" customFormat="1" ht="25.5">
      <c r="A31" s="588"/>
      <c r="B31" s="786">
        <v>36015</v>
      </c>
      <c r="C31" s="786">
        <v>8800</v>
      </c>
      <c r="D31" s="636" t="s">
        <v>896</v>
      </c>
      <c r="E31" s="635" t="s">
        <v>897</v>
      </c>
      <c r="F31" s="635" t="s">
        <v>898</v>
      </c>
      <c r="G31" s="635" t="s">
        <v>886</v>
      </c>
      <c r="H31" s="635" t="s">
        <v>887</v>
      </c>
      <c r="I31" s="635" t="s">
        <v>897</v>
      </c>
      <c r="J31" s="785">
        <v>40269</v>
      </c>
      <c r="K31" s="785">
        <v>40275</v>
      </c>
      <c r="L31" s="635" t="s">
        <v>889</v>
      </c>
      <c r="M31" s="635">
        <v>500</v>
      </c>
      <c r="N31" s="635">
        <v>2250</v>
      </c>
      <c r="O31" s="635">
        <v>3214.2857142857142</v>
      </c>
      <c r="P31" s="635">
        <v>6428.5714285714294</v>
      </c>
      <c r="Q31" s="635">
        <v>0</v>
      </c>
      <c r="R31" s="635">
        <v>0</v>
      </c>
      <c r="S31" s="635">
        <v>0</v>
      </c>
      <c r="T31" s="635">
        <v>0</v>
      </c>
      <c r="U31" s="635">
        <v>0</v>
      </c>
      <c r="V31" s="635">
        <v>0</v>
      </c>
      <c r="W31" s="635">
        <v>0</v>
      </c>
      <c r="X31" s="635">
        <v>1100</v>
      </c>
      <c r="Y31" s="635" t="s">
        <v>51</v>
      </c>
      <c r="Z31" s="637" t="s">
        <v>155</v>
      </c>
    </row>
    <row r="32" spans="1:26" s="589" customFormat="1" ht="25.5">
      <c r="A32" s="588"/>
      <c r="B32" s="786">
        <v>36015</v>
      </c>
      <c r="C32" s="786">
        <v>8800</v>
      </c>
      <c r="D32" s="636" t="s">
        <v>899</v>
      </c>
      <c r="E32" s="635" t="s">
        <v>900</v>
      </c>
      <c r="F32" s="635" t="s">
        <v>901</v>
      </c>
      <c r="G32" s="635" t="s">
        <v>886</v>
      </c>
      <c r="H32" s="635" t="s">
        <v>887</v>
      </c>
      <c r="I32" s="635" t="s">
        <v>900</v>
      </c>
      <c r="J32" s="785">
        <v>41752</v>
      </c>
      <c r="K32" s="785">
        <v>41752</v>
      </c>
      <c r="L32" s="635" t="s">
        <v>889</v>
      </c>
      <c r="M32" s="635">
        <v>1400</v>
      </c>
      <c r="N32" s="635">
        <v>6300</v>
      </c>
      <c r="O32" s="635">
        <v>9000</v>
      </c>
      <c r="P32" s="635">
        <v>18000</v>
      </c>
      <c r="Q32" s="635">
        <v>0</v>
      </c>
      <c r="R32" s="635">
        <v>0</v>
      </c>
      <c r="S32" s="635">
        <v>0</v>
      </c>
      <c r="T32" s="635">
        <v>0</v>
      </c>
      <c r="U32" s="635">
        <v>0</v>
      </c>
      <c r="V32" s="635">
        <v>0</v>
      </c>
      <c r="W32" s="635">
        <v>0</v>
      </c>
      <c r="X32" s="635">
        <v>500</v>
      </c>
      <c r="Y32" s="635" t="s">
        <v>40</v>
      </c>
      <c r="Z32" s="637" t="s">
        <v>379</v>
      </c>
    </row>
    <row r="33" spans="1:27" s="569" customFormat="1">
      <c r="A33" s="591" t="s">
        <v>275</v>
      </c>
      <c r="B33" s="592"/>
      <c r="C33" s="592"/>
      <c r="D33" s="592"/>
      <c r="E33" s="592"/>
      <c r="F33" s="592"/>
      <c r="G33" s="592"/>
      <c r="H33" s="592"/>
      <c r="I33" s="592"/>
      <c r="J33" s="592"/>
      <c r="K33" s="592"/>
      <c r="L33" s="593"/>
      <c r="M33" s="593">
        <f>SUM(M28:M32)</f>
        <v>7833</v>
      </c>
      <c r="N33" s="593">
        <f>SUM(N28:N32)</f>
        <v>35248.5</v>
      </c>
      <c r="O33" s="593">
        <f>SUM(O28:O32)</f>
        <v>50355.000000000007</v>
      </c>
      <c r="P33" s="593">
        <f>SUM(P28:P32)</f>
        <v>37362.857142857145</v>
      </c>
      <c r="Q33" s="593">
        <f>SUM(Q28:Q32)</f>
        <v>49538.571428571435</v>
      </c>
      <c r="R33" s="593">
        <f>SUM(R28:R32)</f>
        <v>13808.571428571429</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1400</v>
      </c>
      <c r="N34" s="593">
        <f>SUMIF($Z$28:$Z$32,"industrie",N28:N32)</f>
        <v>6300</v>
      </c>
      <c r="O34" s="593">
        <f>SUMIF($Z$28:$Z$32,"industrie",O28:O32)</f>
        <v>9000</v>
      </c>
      <c r="P34" s="593">
        <f>SUMIF($Z$28:$Z$32,"industrie",P28:P32)</f>
        <v>18000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6433</v>
      </c>
      <c r="N35" s="593">
        <f ca="1">SUMIF($Z$28:AD32,"tertiair",N28:N32)</f>
        <v>28948.5</v>
      </c>
      <c r="O35" s="593">
        <f ca="1">SUMIF($Z$28:AE32,"tertiair",O28:O32)</f>
        <v>41355.000000000007</v>
      </c>
      <c r="P35" s="593">
        <f ca="1">SUMIF($Z$28:AF32,"tertiair",P28:P32)</f>
        <v>19362.857142857145</v>
      </c>
      <c r="Q35" s="593">
        <f ca="1">SUMIF($Z$28:AG32,"tertiair",Q28:Q32)</f>
        <v>49538.571428571435</v>
      </c>
      <c r="R35" s="593">
        <f ca="1">SUMIF($Z$28:AH32,"tertiair",R28:R32)</f>
        <v>13808.571428571429</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0</v>
      </c>
      <c r="N36" s="598">
        <f>SUMIF($Z$28:$Z$32,"landbouw",N28:N32)</f>
        <v>0</v>
      </c>
      <c r="O36" s="598">
        <f>SUMIF($Z$28:$Z$32,"landbouw",O28:O32)</f>
        <v>0</v>
      </c>
      <c r="P36" s="598">
        <f>SUMIF($Z$28:$Z$32,"landbouw",P28:P32)</f>
        <v>0</v>
      </c>
      <c r="Q36" s="598">
        <f>SUMIF($Z$28:$Z$32,"landbouw",Q28:Q32)</f>
        <v>0</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38.25">
      <c r="A39" s="590"/>
      <c r="B39" s="786">
        <v>36015</v>
      </c>
      <c r="C39" s="786">
        <v>8800</v>
      </c>
      <c r="D39" s="638" t="s">
        <v>902</v>
      </c>
      <c r="E39" s="638" t="s">
        <v>903</v>
      </c>
      <c r="F39" s="638" t="s">
        <v>904</v>
      </c>
      <c r="G39" s="638" t="s">
        <v>905</v>
      </c>
      <c r="H39" s="638" t="s">
        <v>906</v>
      </c>
      <c r="I39" s="638" t="s">
        <v>907</v>
      </c>
      <c r="J39" s="785">
        <v>39114</v>
      </c>
      <c r="K39" s="785">
        <v>39192</v>
      </c>
      <c r="L39" s="638" t="s">
        <v>908</v>
      </c>
      <c r="M39" s="638">
        <v>31</v>
      </c>
      <c r="N39" s="638">
        <v>139.5</v>
      </c>
      <c r="O39" s="638">
        <v>0</v>
      </c>
      <c r="P39" s="638">
        <v>0</v>
      </c>
      <c r="Q39" s="638">
        <v>398.57142857142861</v>
      </c>
      <c r="R39" s="638">
        <v>0</v>
      </c>
      <c r="S39" s="638">
        <v>0</v>
      </c>
      <c r="T39" s="638">
        <v>0</v>
      </c>
      <c r="U39" s="638">
        <v>0</v>
      </c>
      <c r="V39" s="638">
        <v>0</v>
      </c>
      <c r="W39" s="638">
        <v>0</v>
      </c>
      <c r="X39" s="638">
        <v>1300</v>
      </c>
      <c r="Y39" s="638" t="s">
        <v>53</v>
      </c>
      <c r="Z39" s="639" t="s">
        <v>155</v>
      </c>
    </row>
    <row r="40" spans="1:27" s="569" customFormat="1">
      <c r="A40" s="591" t="s">
        <v>275</v>
      </c>
      <c r="B40" s="592"/>
      <c r="C40" s="592"/>
      <c r="D40" s="592"/>
      <c r="E40" s="592"/>
      <c r="F40" s="592"/>
      <c r="G40" s="592"/>
      <c r="H40" s="592"/>
      <c r="I40" s="592"/>
      <c r="J40" s="592"/>
      <c r="K40" s="592"/>
      <c r="L40" s="593"/>
      <c r="M40" s="593">
        <f>SUM(M39:M39)</f>
        <v>31</v>
      </c>
      <c r="N40" s="593">
        <f>SUM(N39:N39)</f>
        <v>139.5</v>
      </c>
      <c r="O40" s="593">
        <f>SUM(O39:O39)</f>
        <v>0</v>
      </c>
      <c r="P40" s="593">
        <f>SUM(P39:P39)</f>
        <v>0</v>
      </c>
      <c r="Q40" s="593">
        <f>SUM(Q39:Q39)</f>
        <v>398.57142857142861</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31</v>
      </c>
      <c r="N42" s="593">
        <f>SUMIF($Z$39:$Z$40,"tertiair",N39:N40)</f>
        <v>139.5</v>
      </c>
      <c r="O42" s="593">
        <f>SUMIF($Z$39:$Z$40,"tertiair",O39:O40)</f>
        <v>0</v>
      </c>
      <c r="P42" s="593">
        <f>SUMIF($Z$39:$Z$40,"tertiair",P39:P40)</f>
        <v>0</v>
      </c>
      <c r="Q42" s="593">
        <f>SUMIF($Z$39:$Z$40,"tertiair",Q39:Q40)</f>
        <v>398.57142857142861</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0.58823529411764719</v>
      </c>
      <c r="C49" s="618">
        <f>IF(ISERROR(N33/(O33+N33)),0,N33/(N33+O33))</f>
        <v>0.41176470588235292</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15384.705882352941</v>
      </c>
      <c r="C52" s="627">
        <f t="shared" si="2"/>
        <v>20398.235294117647</v>
      </c>
      <c r="D52" s="627">
        <f t="shared" si="2"/>
        <v>5685.8823529411766</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21978.151260504208</v>
      </c>
      <c r="C53" s="630">
        <f t="shared" si="3"/>
        <v>29140.336134453792</v>
      </c>
      <c r="D53" s="630">
        <f t="shared" si="3"/>
        <v>8122.6890756302546</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2021-06-29T14:32:25Z</dcterms:modified>
</cp:coreProperties>
</file>