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17" i="49"/>
  <c r="C10" i="13"/>
  <c r="C12" i="13" s="1"/>
  <c r="D41" i="14" s="1"/>
  <c r="D46" i="14" s="1"/>
  <c r="D61" i="14" s="1"/>
  <c r="D63" i="14" s="1"/>
  <c r="C22" i="59"/>
  <c r="C56" i="22"/>
  <c r="C58" i="22" s="1"/>
  <c r="D49" i="14" s="1"/>
  <c r="D52" i="14" s="1"/>
  <c r="C18" i="15"/>
  <c r="C20" i="15" s="1"/>
  <c r="D40" i="14" s="1"/>
  <c r="C29" i="20"/>
  <c r="C17" i="19"/>
  <c r="C19" i="19" s="1"/>
  <c r="D39" i="14" s="1"/>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<sst xmlns="http://schemas.openxmlformats.org/spreadsheetml/2006/main" count="2457" uniqueCount="889">
  <si>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</si>
  <si>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</si>
  <si>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</si>
  <si>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</si>
  <si>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</si>
  <si>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</si>
  <si>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</si>
  <si>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</si>
  <si>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</si>
  <si>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</si>
  <si>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</si>
  <si>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</si>
  <si>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</si>
  <si>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</si>
  <si>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</si>
  <si>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</si>
  <si>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</si>
  <si>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</si>
  <si>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</si>
  <si>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</si>
  <si>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</si>
  <si>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</si>
  <si>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</si>
  <si>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</si>
  <si>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</si>
  <si>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</si>
  <si>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</si>
  <si>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</si>
  <si>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</si>
  <si>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</si>
  <si>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</si>
  <si>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</si>
  <si>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</si>
  <si>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</si>
  <si>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</si>
  <si>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</si>
  <si>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</si>
  <si>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</si>
  <si>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</si>
  <si>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</si>
  <si>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</si>
  <si>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</si>
  <si>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</si>
  <si>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</si>
  <si>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</si>
  <si>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</si>
  <si>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</si>
  <si>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</si>
  <si>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</si>
  <si>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</si>
  <si>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</si>
  <si>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</si>
  <si>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</si>
  <si>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</si>
  <si>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</si>
  <si>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</si>
  <si>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</si>
  <si>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</si>
  <si>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</si>
  <si>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</si>
  <si>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</si>
  <si>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</si>
  <si>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</si>
  <si>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</si>
  <si>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</si>
  <si>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</si>
  <si>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</si>
  <si>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</si>
  <si>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</si>
  <si>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</si>
  <si>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</si>
  <si>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</si>
  <si>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</si>
  <si>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</si>
  <si>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</si>
  <si>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</si>
  <si>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</si>
  <si>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</si>
  <si>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</si>
  <si>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</si>
  <si>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</si>
  <si>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</si>
  <si>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</si>
  <si>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</si>
  <si>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</si>
  <si>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</si>
  <si>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</si>
  <si>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</si>
  <si>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</si>
  <si>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</si>
  <si>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</si>
  <si>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</si>
  <si>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</si>
  <si>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</si>
  <si>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</si>
  <si>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</si>
  <si>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</si>
  <si>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</si>
  <si>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</si>
  <si>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</si>
  <si>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</si>
  <si>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</si>
  <si>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</si>
  <si>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</si>
  <si>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</si>
  <si>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</si>
  <si>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</si>
  <si>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</si>
  <si>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</si>
  <si>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</si>
  <si>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</si>
  <si>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</si>
  <si>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</si>
  <si>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</si>
  <si>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</si>
  <si>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</si>
  <si>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</si>
  <si>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</si>
  <si>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</si>
  <si>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</si>
  <si>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</si>
  <si>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</si>
  <si>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</si>
  <si>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</si>
  <si>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</si>
  <si>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</si>
  <si>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</si>
  <si>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</si>
  <si>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</si>
  <si>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</si>
  <si>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</si>
  <si>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</si>
  <si>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</si>
  <si>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</si>
  <si>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</si>
  <si>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</si>
  <si>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</si>
  <si>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</si>
  <si>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</si>
  <si>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</si>
  <si>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</si>
  <si>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</si>
  <si>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</si>
  <si>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</si>
  <si>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</si>
  <si>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</si>
  <si>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</si>
  <si>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</si>
  <si>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</si>
  <si>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</si>
  <si>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</si>
  <si>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</si>
  <si>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</si>
  <si>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</si>
  <si>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</si>
  <si>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</si>
  <si>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</si>
  <si>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</si>
  <si>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</si>
  <si>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</si>
  <si>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</si>
  <si>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</si>
  <si>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</si>
  <si>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</si>
  <si>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</si>
  <si>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</si>
  <si>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</si>
  <si>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</si>
  <si>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</si>
  <si>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</si>
  <si>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</si>
  <si>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</si>
  <si>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</si>
  <si>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</si>
  <si>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</si>
  <si>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</si>
  <si>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</si>
  <si>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</si>
  <si>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</si>
  <si>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</si>
  <si>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</si>
  <si>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</si>
  <si>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</si>
  <si>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</si>
  <si>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</si>
  <si>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</si>
  <si>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</si>
  <si>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</si>
  <si>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</si>
  <si>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</si>
  <si>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</si>
  <si>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</si>
  <si>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</si>
  <si>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</si>
  <si>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</si>
  <si>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</si>
  <si>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</si>
  <si>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</si>
  <si>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</si>
  <si>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</si>
  <si>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</si>
  <si>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</si>
  <si>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</si>
  <si>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</si>
  <si>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</si>
  <si>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</si>
  <si>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</si>
  <si>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</si>
  <si>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</si>
  <si>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</si>
  <si>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</si>
  <si>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</si>
  <si>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</si>
  <si>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</si>
  <si>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</si>
  <si>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</si>
  <si>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</si>
  <si>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</si>
  <si>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</si>
  <si>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</si>
  <si>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</si>
  <si>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</si>
  <si>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</si>
  <si>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</si>
  <si>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</si>
  <si>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</si>
  <si>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</si>
  <si>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</si>
  <si>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</si>
  <si>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</si>
  <si>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</si>
  <si>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</si>
  <si>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</si>
  <si>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</si>
  <si>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</si>
  <si>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</si>
  <si>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</si>
  <si>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</si>
  <si>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</si>
  <si>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</si>
  <si>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</si>
  <si>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</si>
  <si>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</si>
  <si>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</si>
  <si>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</si>
  <si>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</si>
  <si>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</si>
  <si>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</si>
  <si>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</si>
  <si>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</si>
  <si>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</si>
  <si>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</si>
  <si>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</si>
  <si>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</si>
  <si>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</si>
  <si>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</si>
  <si>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</si>
  <si>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</si>
  <si>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</si>
  <si>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</si>
  <si>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</si>
  <si>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</si>
  <si>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</si>
  <si>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</si>
  <si>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</si>
  <si>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</si>
  <si>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</si>
  <si>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</si>
  <si>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</si>
  <si>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</si>
  <si>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</si>
  <si>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</si>
  <si>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</si>
  <si>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</si>
  <si>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</si>
  <si>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</si>
  <si>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</si>
  <si>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</si>
  <si>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</si>
  <si>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</si>
  <si>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</si>
  <si>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</si>
  <si>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</si>
  <si>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</si>
  <si>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</si>
  <si>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</si>
  <si>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</si>
  <si>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</si>
  <si>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</si>
  <si>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</si>
  <si>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</si>
  <si>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</si>
  <si>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</si>
  <si>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</si>
  <si>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</si>
  <si>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</si>
  <si>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</si>
  <si>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</si>
  <si>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</si>
  <si>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</si>
  <si>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</si>
  <si>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</si>
  <si>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</si>
  <si>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</si>
  <si>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</si>
  <si>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</si>
  <si>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</si>
  <si>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</si>
  <si>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</si>
  <si>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</si>
  <si>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</si>
  <si>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</si>
  <si>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</si>
  <si>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</si>
  <si>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</si>
  <si>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</si>
  <si>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</si>
  <si>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</si>
  <si>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</si>
  <si>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</si>
  <si>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</si>
  <si>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</si>
  <si>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</si>
  <si>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</si>
  <si>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</si>
  <si>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</si>
  <si>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</si>
  <si>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</si>
  <si>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</si>
  <si>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</si>
  <si>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</si>
  <si>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</si>
  <si>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</si>
  <si>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</si>
  <si>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</si>
  <si>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</si>
  <si>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</si>
  <si>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</si>
  <si>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</si>
  <si>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</si>
  <si>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</si>
  <si>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</si>
  <si>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</si>
  <si>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</si>
  <si>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</si>
  <si>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</si>
  <si>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</si>
  <si>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</si>
  <si>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</si>
  <si>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</si>
  <si>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</si>
  <si>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</si>
  <si>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</si>
  <si>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</si>
  <si>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</si>
  <si>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</si>
  <si>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</si>
  <si>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</si>
  <si>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</si>
  <si>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</si>
  <si>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</si>
  <si>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</si>
  <si>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</si>
  <si>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</si>
  <si>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</si>
  <si>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</si>
  <si>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</si>
  <si>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</si>
  <si>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</si>
  <si>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</si>
  <si>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</si>
  <si>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</si>
  <si>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</si>
  <si>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</si>
  <si>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</si>
  <si>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</si>
  <si>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</si>
  <si>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</si>
  <si>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</si>
  <si>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</si>
  <si>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</si>
  <si>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</si>
  <si>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</si>
  <si>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</si>
  <si>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</si>
  <si>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</si>
  <si>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</si>
  <si>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</si>
  <si>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</si>
  <si>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</si>
  <si>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</si>
  <si>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</si>
  <si>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</si>
  <si>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</si>
  <si>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</si>
  <si>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</si>
  <si>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</si>
  <si>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</si>
  <si>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</si>
  <si>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</si>
  <si>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</si>
  <si>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</si>
  <si>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</si>
  <si>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</si>
  <si>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</si>
  <si>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</si>
  <si>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</si>
  <si>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</si>
  <si>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</si>
  <si>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</si>
  <si>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</si>
  <si>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</si>
  <si>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</si>
  <si>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</si>
  <si>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</si>
  <si>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</si>
  <si>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</si>
  <si>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</si>
  <si>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</si>
  <si>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</si>
  <si>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</si>
  <si>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</si>
  <si>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</si>
  <si>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</si>
  <si>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</si>
  <si>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</si>
  <si>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</si>
  <si>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</si>
  <si>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</si>
  <si>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</si>
  <si>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</si>
  <si>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</si>
  <si>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</si>
  <si>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</si>
  <si>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</si>
  <si>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</si>
  <si>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</si>
  <si>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</si>
  <si>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</si>
  <si>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</si>
  <si>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</si>
  <si>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</si>
  <si>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</si>
  <si>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</si>
  <si>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</si>
  <si>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</si>
  <si>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</si>
  <si>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</si>
  <si>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</si>
  <si>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</si>
  <si>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</si>
  <si>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</si>
  <si>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</si>
  <si>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</si>
  <si>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</si>
  <si>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</si>
  <si>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</si>
  <si>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</si>
  <si>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</si>
  <si>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</si>
  <si>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</si>
  <si>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</si>
  <si>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</si>
  <si>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</si>
  <si>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</si>
  <si>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</si>
  <si>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</si>
  <si>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</si>
  <si>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</si>
  <si>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</si>
  <si>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</si>
  <si>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</si>
  <si>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</si>
  <si>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</si>
  <si>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</si>
  <si>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</si>
  <si>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</si>
  <si>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</si>
  <si>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</si>
  <si>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</si>
  <si>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</si>
  <si>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</si>
  <si>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</si>
  <si>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</si>
  <si>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</si>
  <si>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</si>
  <si>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</si>
  <si>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</si>
  <si>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</si>
  <si>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</si>
  <si>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</si>
  <si>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</si>
  <si>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</si>
  <si>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</si>
  <si>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</si>
  <si>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</si>
  <si>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</si>
  <si>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</si>
  <si>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</si>
  <si>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</si>
  <si>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</si>
  <si>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</si>
  <si>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</si>
  <si>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</si>
  <si>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</si>
  <si>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</si>
  <si>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</si>
  <si>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</si>
  <si>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</si>
  <si>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</si>
  <si>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</si>
  <si>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</si>
  <si>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</si>
  <si>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</si>
  <si>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</si>
  <si>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</si>
  <si>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</si>
  <si>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</si>
  <si>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</si>
  <si>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</si>
  <si>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</si>
  <si>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</si>
  <si>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</si>
  <si>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</si>
  <si>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</si>
  <si>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</si>
  <si>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</si>
  <si>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</si>
  <si>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</si>
  <si>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</si>
  <si>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</si>
  <si>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</si>
  <si>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</si>
  <si>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</si>
  <si>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</si>
  <si>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</si>
  <si>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</si>
  <si>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</si>
  <si>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</si>
  <si>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</si>
  <si>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</si>
  <si>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</si>
  <si>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</si>
  <si>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</si>
  <si>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</si>
  <si>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</si>
  <si>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</si>
  <si>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</si>
  <si>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</si>
  <si>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</si>
  <si>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</si>
  <si>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</si>
  <si>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</si>
  <si>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</si>
  <si>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</si>
  <si>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</si>
  <si>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</si>
  <si>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</si>
  <si>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</si>
  <si>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</si>
  <si>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</si>
  <si>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</si>
  <si>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</si>
  <si>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</si>
  <si>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</si>
  <si>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</si>
  <si>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</si>
  <si>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</si>
  <si>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</si>
  <si>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</si>
  <si>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</si>
  <si>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</si>
  <si>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</si>
  <si>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</si>
  <si>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</si>
  <si>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</si>
  <si>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</si>
  <si>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</si>
  <si>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</si>
  <si>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</si>
  <si>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</si>
  <si>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</si>
  <si>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</si>
  <si>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</si>
  <si>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</si>
  <si>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</si>
  <si>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</si>
  <si>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</si>
  <si>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</si>
  <si>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</si>
  <si>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</si>
  <si>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</si>
  <si>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</si>
  <si>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</si>
  <si>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</si>
  <si>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</si>
  <si>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</si>
  <si>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</si>
  <si>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</si>
  <si>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</si>
  <si>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</si>
  <si>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</si>
  <si>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</si>
  <si>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</si>
  <si>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</si>
  <si>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</si>
  <si>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</si>
  <si>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</si>
  <si>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</si>
  <si>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</si>
  <si>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</si>
  <si>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</si>
  <si>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</si>
  <si>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</si>
  <si>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</si>
  <si>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</si>
  <si>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</si>
  <si>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</si>
  <si>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</si>
  <si>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</si>
  <si>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</si>
  <si>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</si>
  <si>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</si>
  <si>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</si>
  <si>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</si>
  <si>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</si>
  <si>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</si>
  <si>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</si>
  <si>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</si>
  <si>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</si>
  <si>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</si>
  <si>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</si>
  <si>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</si>
  <si>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</si>
  <si>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</si>
  <si>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</si>
  <si>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</si>
  <si>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</si>
  <si>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</si>
  <si>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</si>
  <si>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</si>
  <si>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</si>
  <si>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</si>
  <si>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</si>
  <si>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</si>
  <si>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</si>
  <si>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</si>
  <si>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</si>
  <si>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</si>
  <si>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</si>
  <si>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</si>
  <si>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</si>
  <si>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</si>
  <si>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</si>
  <si>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</si>
  <si>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</si>
  <si>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</si>
  <si>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</si>
  <si>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</si>
  <si>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</si>
  <si>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</si>
  <si>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</si>
  <si>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</si>
  <si>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</si>
  <si>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</si>
  <si>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</si>
  <si>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</si>
  <si>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</si>
  <si>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</si>
  <si>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</si>
  <si>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</si>
  <si>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</si>
  <si>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</si>
  <si>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</si>
  <si>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</si>
  <si>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</si>
  <si>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</si>
  <si>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</si>
  <si>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</si>
  <si>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</si>
  <si>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</si>
  <si>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</si>
  <si>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</si>
  <si>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</si>
  <si>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</si>
  <si>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</si>
  <si>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</si>
  <si>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</si>
  <si>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</si>
  <si>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</si>
  <si>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</si>
  <si>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</si>
  <si>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</si>
  <si>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</si>
  <si>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</si>
  <si>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</si>
  <si>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</si>
  <si>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</si>
  <si>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</si>
  <si>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</si>
  <si>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</si>
  <si>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</si>
  <si>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</si>
  <si>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</si>
  <si>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</si>
  <si>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</si>
  <si>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</si>
  <si>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</si>
  <si>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</si>
  <si>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</si>
  <si>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</si>
  <si>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</si>
  <si>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</si>
  <si>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</si>
  <si>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</si>
  <si>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</si>
  <si>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</si>
  <si>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</si>
  <si>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</si>
  <si>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</si>
  <si>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</si>
  <si>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</si>
  <si>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</si>
  <si>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</si>
  <si>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</si>
  <si>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</si>
  <si>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</si>
  <si>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</si>
  <si>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</si>
  <si>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</si>
  <si>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</si>
  <si>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</si>
  <si>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</si>
  <si>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</si>
  <si>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</si>
  <si>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</si>
  <si>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</si>
  <si>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</si>
  <si>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</si>
  <si>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</si>
  <si>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</si>
  <si>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</si>
  <si>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</si>
  <si>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</si>
  <si>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</si>
  <si>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</si>
  <si>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</si>
  <si>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</si>
  <si>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</si>
  <si>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</si>
  <si>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</si>
  <si>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</si>
  <si>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</si>
  <si>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</si>
  <si>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</si>
  <si>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</si>
  <si>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</si>
  <si>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</si>
  <si>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</si>
  <si>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</si>
  <si>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</si>
  <si>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</si>
  <si>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</si>
  <si>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</si>
  <si>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</si>
  <si>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</si>
  <si>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</si>
  <si>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</si>
  <si>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</si>
  <si>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</si>
  <si>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</si>
  <si>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</si>
  <si>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</si>
  <si>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</si>
  <si>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</si>
  <si>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</si>
  <si>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</si>
  <si>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</si>
  <si>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</si>
  <si>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</si>
  <si>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</si>
  <si>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</si>
  <si>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</si>
  <si>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</si>
  <si>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</si>
  <si>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</si>
  <si>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</si>
  <si>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</si>
  <si>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</si>
  <si>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</si>
  <si>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</si>
  <si>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</si>
  <si>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</si>
  <si>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</si>
  <si>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</si>
  <si>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</si>
  <si>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</si>
  <si>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</si>
  <si>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</si>
  <si>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</si>
  <si>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</si>
  <si>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</si>
  <si>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</si>
  <si>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</si>
  <si>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</si>
  <si>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</si>
  <si>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</si>
  <si>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</si>
  <si>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</si>
  <si>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</si>
  <si>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</si>
  <si>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</si>
  <si>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</si>
  <si>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</si>
  <si>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</si>
  <si>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</si>
  <si>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</si>
  <si>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</si>
  <si>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</si>
  <si>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</si>
  <si>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</si>
  <si>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</si>
  <si>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</si>
  <si>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</si>
  <si>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</si>
  <si>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</si>
  <si>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</si>
  <si>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</si>
  <si>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</si>
  <si>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</si>
  <si>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</si>
  <si>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</si>
  <si>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</si>
  <si>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</si>
  <si>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</si>
  <si>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</si>
  <si>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</si>
  <si>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</si>
  <si>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</si>
  <si>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</si>
  <si>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</si>
  <si>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</si>
  <si>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</si>
  <si>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</si>
  <si>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</si>
  <si>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</si>
  <si>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</si>
  <si>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</si>
  <si>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</si>
  <si>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</si>
  <si>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</si>
  <si>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</si>
  <si>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</si>
  <si>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</si>
  <si>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</si>
  <si>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</si>
  <si>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</si>
  <si>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</si>
  <si>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</si>
  <si>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</si>
  <si>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</si>
  <si>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</si>
  <si>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</si>
  <si>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</si>
  <si>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</si>
  <si>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</si>
  <si>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</si>
  <si>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</si>
  <si>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</si>
  <si>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</si>
  <si>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</si>
  <si>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</si>
  <si>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</si>
  <si>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</si>
  <si>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</si>
  <si>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</si>
  <si>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</si>
  <si>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</si>
  <si>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</si>
  <si>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36010</t>
  </si>
  <si>
    <t>LEDEGEM</t>
  </si>
  <si>
    <t>referentietaak LNE (2017); Jaarverslag De Lijn</t>
  </si>
  <si>
    <t>waterkracht</t>
  </si>
  <si>
    <t>Koen Dendauw</t>
  </si>
  <si>
    <t>Rollegemkapelsestraat 76 , 8880 Sint-Eloois-Winkel</t>
  </si>
  <si>
    <t>WKK-0622 Koen Dendauw</t>
  </si>
  <si>
    <t>interne verbrandingsmotor</t>
  </si>
  <si>
    <t>WKK interne verbrandinsgmotor (gas)</t>
  </si>
  <si>
    <t>Infrax 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</si>
</sst>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77806.806805304339</c:v>
                </c:pt>
                <c:pt idx="1">
                  <c:v>16383.002912892473</c:v>
                </c:pt>
                <c:pt idx="2">
                  <c:v>684.75286800000003</c:v>
                </c:pt>
                <c:pt idx="3">
                  <c:v>8857.7863791983746</c:v>
                </c:pt>
                <c:pt idx="4">
                  <c:v>11522.136856587804</c:v>
                </c:pt>
                <c:pt idx="5">
                  <c:v>109979.64252605272</c:v>
                </c:pt>
                <c:pt idx="6">
                  <c:v>611.99479067044945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77806.806805304339</c:v>
                </c:pt>
                <c:pt idx="1">
                  <c:v>16383.002912892473</c:v>
                </c:pt>
                <c:pt idx="2">
                  <c:v>684.75286800000003</c:v>
                </c:pt>
                <c:pt idx="3">
                  <c:v>8857.7863791983746</c:v>
                </c:pt>
                <c:pt idx="4">
                  <c:v>11522.136856587804</c:v>
                </c:pt>
                <c:pt idx="5">
                  <c:v>109979.64252605272</c:v>
                </c:pt>
                <c:pt idx="6">
                  <c:v>611.99479067044945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15589.063556099114</c:v>
                </c:pt>
                <c:pt idx="1">
                  <c:v>3242.1370798045582</c:v>
                </c:pt>
                <c:pt idx="2">
                  <c:v>131.81263024940262</c:v>
                </c:pt>
                <c:pt idx="3">
                  <c:v>2221.6521192471591</c:v>
                </c:pt>
                <c:pt idx="4">
                  <c:v>2293.5585118764143</c:v>
                </c:pt>
                <c:pt idx="5">
                  <c:v>27357.62190754095</c:v>
                </c:pt>
                <c:pt idx="6">
                  <c:v>154.36651219936888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15589.063556099114</c:v>
                </c:pt>
                <c:pt idx="1">
                  <c:v>3242.1370798045582</c:v>
                </c:pt>
                <c:pt idx="2">
                  <c:v>131.81263024940262</c:v>
                </c:pt>
                <c:pt idx="3">
                  <c:v>2221.6521192471591</c:v>
                </c:pt>
                <c:pt idx="4">
                  <c:v>2293.5585118764143</c:v>
                </c:pt>
                <c:pt idx="5">
                  <c:v>27357.62190754095</c:v>
                </c:pt>
                <c:pt idx="6">
                  <c:v>154.36651219936888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36010</v>
      </c>
      <c r="B6" s="386"/>
      <c r="C6" s="387"/>
    </row>
    <row r="7" spans="1:7" s="384" customFormat="1" ht="15.75" customHeight="1">
      <c r="A7" s="388" t="str">
        <f>txtMunicipality</f>
        <v>LEDEGEM</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7656.4154280000002</v>
      </c>
      <c r="D10" s="682">
        <f ca="1">tertiair!C16</f>
        <v>0</v>
      </c>
      <c r="E10" s="682">
        <f ca="1">tertiair!D16</f>
        <v>8137.3315002209993</v>
      </c>
      <c r="F10" s="682">
        <f>tertiair!E16</f>
        <v>18.476719114607342</v>
      </c>
      <c r="G10" s="682">
        <f ca="1">tertiair!F16</f>
        <v>944.48806376078835</v>
      </c>
      <c r="H10" s="682">
        <f>tertiair!G16</f>
        <v>0</v>
      </c>
      <c r="I10" s="682">
        <f>tertiair!H16</f>
        <v>0</v>
      </c>
      <c r="J10" s="682">
        <f>tertiair!I16</f>
        <v>0</v>
      </c>
      <c r="K10" s="682">
        <f>tertiair!J16</f>
        <v>5.453334220619499E-3</v>
      </c>
      <c r="L10" s="682">
        <f>tertiair!K16</f>
        <v>0</v>
      </c>
      <c r="M10" s="682">
        <f ca="1">tertiair!L16</f>
        <v>0</v>
      </c>
      <c r="N10" s="682">
        <f>tertiair!M16</f>
        <v>0</v>
      </c>
      <c r="O10" s="682">
        <f ca="1">tertiair!N16</f>
        <v>205.96033984886628</v>
      </c>
      <c r="P10" s="682">
        <f>tertiair!O16</f>
        <v>0</v>
      </c>
      <c r="Q10" s="683">
        <f>tertiair!P16</f>
        <v>105.07827661299004</v>
      </c>
      <c r="R10" s="685">
        <f ca="1">SUM(C10:Q10)</f>
        <v>17067.755780892468</v>
      </c>
      <c r="S10" s="67"/>
    </row>
    <row r="11" spans="1:19" s="445" customFormat="1">
      <c r="A11" s="803" t="s">
        <v>220</v>
      </c>
      <c r="B11" s="808"/>
      <c r="C11" s="682">
        <f>huishoudens!B8</f>
        <v>15909.39260482705</v>
      </c>
      <c r="D11" s="682">
        <f>huishoudens!C8</f>
        <v>0</v>
      </c>
      <c r="E11" s="682">
        <f>huishoudens!D8</f>
        <v>36524.463099323693</v>
      </c>
      <c r="F11" s="682">
        <f>huishoudens!E8</f>
        <v>813.1322699638431</v>
      </c>
      <c r="G11" s="682">
        <f>huishoudens!F8</f>
        <v>18469.389296502337</v>
      </c>
      <c r="H11" s="682">
        <f>huishoudens!G8</f>
        <v>0</v>
      </c>
      <c r="I11" s="682">
        <f>huishoudens!H8</f>
        <v>0</v>
      </c>
      <c r="J11" s="682">
        <f>huishoudens!I8</f>
        <v>0</v>
      </c>
      <c r="K11" s="682">
        <f>huishoudens!J8</f>
        <v>92.399238506650804</v>
      </c>
      <c r="L11" s="682">
        <f>huishoudens!K8</f>
        <v>0</v>
      </c>
      <c r="M11" s="682">
        <f>huishoudens!L8</f>
        <v>0</v>
      </c>
      <c r="N11" s="682">
        <f>huishoudens!M8</f>
        <v>0</v>
      </c>
      <c r="O11" s="682">
        <f>huishoudens!N8</f>
        <v>5344.8800732415621</v>
      </c>
      <c r="P11" s="682">
        <f>huishoudens!O8</f>
        <v>305.52956578560287</v>
      </c>
      <c r="Q11" s="683">
        <f>huishoudens!P8</f>
        <v>347.62065715360575</v>
      </c>
      <c r="R11" s="685">
        <f>SUM(C11:Q11)</f>
        <v>77806.806805304339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6893.412029000001</v>
      </c>
      <c r="D13" s="682">
        <f>industrie!C18</f>
        <v>0</v>
      </c>
      <c r="E13" s="682">
        <f>industrie!D18</f>
        <v>3151.2051970560001</v>
      </c>
      <c r="F13" s="682">
        <f>industrie!E18</f>
        <v>16.685435983663051</v>
      </c>
      <c r="G13" s="682">
        <f>industrie!F18</f>
        <v>1220.977984697965</v>
      </c>
      <c r="H13" s="682">
        <f>industrie!G18</f>
        <v>0</v>
      </c>
      <c r="I13" s="682">
        <f>industrie!H18</f>
        <v>0</v>
      </c>
      <c r="J13" s="682">
        <f>industrie!I18</f>
        <v>0</v>
      </c>
      <c r="K13" s="682">
        <f>industrie!J18</f>
        <v>0.7560816856130631</v>
      </c>
      <c r="L13" s="682">
        <f>industrie!K18</f>
        <v>0</v>
      </c>
      <c r="M13" s="682">
        <f>industrie!L18</f>
        <v>0</v>
      </c>
      <c r="N13" s="682">
        <f>industrie!M18</f>
        <v>0</v>
      </c>
      <c r="O13" s="682">
        <f>industrie!N18</f>
        <v>239.10012816456103</v>
      </c>
      <c r="P13" s="682">
        <f>industrie!O18</f>
        <v>0</v>
      </c>
      <c r="Q13" s="683">
        <f>industrie!P18</f>
        <v>0</v>
      </c>
      <c r="R13" s="685">
        <f>SUM(C13:Q13)</f>
        <v>11522.136856587804</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30459.220061827051</v>
      </c>
      <c r="D16" s="718">
        <f t="shared" ref="D16:R16" ca="1" si="0">SUM(D9:D15)</f>
        <v>0</v>
      </c>
      <c r="E16" s="718">
        <f t="shared" ca="1" si="0"/>
        <v>47812.999796600692</v>
      </c>
      <c r="F16" s="718">
        <f t="shared" si="0"/>
        <v>848.29442506211353</v>
      </c>
      <c r="G16" s="718">
        <f t="shared" ca="1" si="0"/>
        <v>20634.855344961092</v>
      </c>
      <c r="H16" s="718">
        <f t="shared" si="0"/>
        <v>0</v>
      </c>
      <c r="I16" s="718">
        <f t="shared" si="0"/>
        <v>0</v>
      </c>
      <c r="J16" s="718">
        <f t="shared" si="0"/>
        <v>0</v>
      </c>
      <c r="K16" s="718">
        <f t="shared" si="0"/>
        <v>93.160773526484491</v>
      </c>
      <c r="L16" s="718">
        <f t="shared" si="0"/>
        <v>0</v>
      </c>
      <c r="M16" s="718">
        <f t="shared" ca="1" si="0"/>
        <v>0</v>
      </c>
      <c r="N16" s="718">
        <f t="shared" si="0"/>
        <v>0</v>
      </c>
      <c r="O16" s="718">
        <f t="shared" ca="1" si="0"/>
        <v>5789.9405412549895</v>
      </c>
      <c r="P16" s="718">
        <f t="shared" si="0"/>
        <v>305.52956578560287</v>
      </c>
      <c r="Q16" s="718">
        <f t="shared" si="0"/>
        <v>452.69893376659581</v>
      </c>
      <c r="R16" s="718">
        <f t="shared" ca="1" si="0"/>
        <v>106396.69944278462</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8.0188415988145803</v>
      </c>
      <c r="D19" s="682">
        <f>transport!C54</f>
        <v>0</v>
      </c>
      <c r="E19" s="682">
        <f>transport!D54</f>
        <v>0</v>
      </c>
      <c r="F19" s="682">
        <f>transport!E54</f>
        <v>0</v>
      </c>
      <c r="G19" s="682">
        <f>transport!F54</f>
        <v>0</v>
      </c>
      <c r="H19" s="682">
        <f>transport!G54</f>
        <v>572.37045726177371</v>
      </c>
      <c r="I19" s="682">
        <f>transport!H54</f>
        <v>0</v>
      </c>
      <c r="J19" s="682">
        <f>transport!I54</f>
        <v>0</v>
      </c>
      <c r="K19" s="682">
        <f>transport!J54</f>
        <v>0</v>
      </c>
      <c r="L19" s="682">
        <f>transport!K54</f>
        <v>0</v>
      </c>
      <c r="M19" s="682">
        <f>transport!L54</f>
        <v>0</v>
      </c>
      <c r="N19" s="682">
        <f>transport!M54</f>
        <v>31.605491809861213</v>
      </c>
      <c r="O19" s="682">
        <f>transport!N54</f>
        <v>0</v>
      </c>
      <c r="P19" s="682">
        <f>transport!O54</f>
        <v>0</v>
      </c>
      <c r="Q19" s="683">
        <f>transport!P54</f>
        <v>0</v>
      </c>
      <c r="R19" s="685">
        <f>SUM(C19:Q19)</f>
        <v>611.99479067044945</v>
      </c>
      <c r="S19" s="67"/>
    </row>
    <row r="20" spans="1:19" s="445" customFormat="1">
      <c r="A20" s="803" t="s">
        <v>302</v>
      </c>
      <c r="B20" s="808"/>
      <c r="C20" s="682">
        <f>transport!B14</f>
        <v>181.97716390084966</v>
      </c>
      <c r="D20" s="682">
        <f>transport!C14</f>
        <v>0</v>
      </c>
      <c r="E20" s="682">
        <f>transport!D14</f>
        <v>309.98002024151504</v>
      </c>
      <c r="F20" s="682">
        <f>transport!E14</f>
        <v>187.39578771163971</v>
      </c>
      <c r="G20" s="682">
        <f>transport!F14</f>
        <v>0</v>
      </c>
      <c r="H20" s="682">
        <f>transport!G14</f>
        <v>84009.261654076312</v>
      </c>
      <c r="I20" s="682">
        <f>transport!H14</f>
        <v>19224.756001411395</v>
      </c>
      <c r="J20" s="682">
        <f>transport!I14</f>
        <v>0</v>
      </c>
      <c r="K20" s="682">
        <f>transport!J14</f>
        <v>0</v>
      </c>
      <c r="L20" s="682">
        <f>transport!K14</f>
        <v>0</v>
      </c>
      <c r="M20" s="682">
        <f>transport!L14</f>
        <v>0</v>
      </c>
      <c r="N20" s="682">
        <f>transport!M14</f>
        <v>6066.2718987109974</v>
      </c>
      <c r="O20" s="682">
        <f>transport!N14</f>
        <v>0</v>
      </c>
      <c r="P20" s="682">
        <f>transport!O14</f>
        <v>0</v>
      </c>
      <c r="Q20" s="683">
        <f>transport!P14</f>
        <v>0</v>
      </c>
      <c r="R20" s="685">
        <f>SUM(C20:Q20)</f>
        <v>109979.64252605272</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189.99600549966425</v>
      </c>
      <c r="D22" s="806">
        <f t="shared" ref="D22:R22" si="1">SUM(D18:D21)</f>
        <v>0</v>
      </c>
      <c r="E22" s="806">
        <f t="shared" si="1"/>
        <v>309.98002024151504</v>
      </c>
      <c r="F22" s="806">
        <f t="shared" si="1"/>
        <v>187.39578771163971</v>
      </c>
      <c r="G22" s="806">
        <f t="shared" si="1"/>
        <v>0</v>
      </c>
      <c r="H22" s="806">
        <f t="shared" si="1"/>
        <v>84581.632111338084</v>
      </c>
      <c r="I22" s="806">
        <f t="shared" si="1"/>
        <v>19224.756001411395</v>
      </c>
      <c r="J22" s="806">
        <f t="shared" si="1"/>
        <v>0</v>
      </c>
      <c r="K22" s="806">
        <f t="shared" si="1"/>
        <v>0</v>
      </c>
      <c r="L22" s="806">
        <f t="shared" si="1"/>
        <v>0</v>
      </c>
      <c r="M22" s="806">
        <f t="shared" si="1"/>
        <v>0</v>
      </c>
      <c r="N22" s="806">
        <f t="shared" si="1"/>
        <v>6097.8773905208591</v>
      </c>
      <c r="O22" s="806">
        <f t="shared" si="1"/>
        <v>0</v>
      </c>
      <c r="P22" s="806">
        <f t="shared" si="1"/>
        <v>0</v>
      </c>
      <c r="Q22" s="806">
        <f t="shared" si="1"/>
        <v>0</v>
      </c>
      <c r="R22" s="806">
        <f t="shared" si="1"/>
        <v>110591.63731672316</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1837.1104521508403</v>
      </c>
      <c r="D24" s="682">
        <f>+landbouw!C8</f>
        <v>62.357142857142847</v>
      </c>
      <c r="E24" s="682">
        <f>+landbouw!D8</f>
        <v>447.26055857700004</v>
      </c>
      <c r="F24" s="682">
        <f>+landbouw!E8</f>
        <v>68.511468080719396</v>
      </c>
      <c r="G24" s="682">
        <f>+landbouw!F8</f>
        <v>5960.2961941993808</v>
      </c>
      <c r="H24" s="682">
        <f>+landbouw!G8</f>
        <v>0</v>
      </c>
      <c r="I24" s="682">
        <f>+landbouw!H8</f>
        <v>0</v>
      </c>
      <c r="J24" s="682">
        <f>+landbouw!I8</f>
        <v>0</v>
      </c>
      <c r="K24" s="682">
        <f>+landbouw!J8</f>
        <v>482.25056333329201</v>
      </c>
      <c r="L24" s="682">
        <f>+landbouw!K8</f>
        <v>0</v>
      </c>
      <c r="M24" s="682">
        <f>+landbouw!L8</f>
        <v>0</v>
      </c>
      <c r="N24" s="682">
        <f>+landbouw!M8</f>
        <v>0</v>
      </c>
      <c r="O24" s="682">
        <f>+landbouw!N8</f>
        <v>0</v>
      </c>
      <c r="P24" s="682">
        <f>+landbouw!O8</f>
        <v>0</v>
      </c>
      <c r="Q24" s="683">
        <f>+landbouw!P8</f>
        <v>0</v>
      </c>
      <c r="R24" s="685">
        <f>SUM(C24:Q24)</f>
        <v>8857.7863791983746</v>
      </c>
      <c r="S24" s="67"/>
    </row>
    <row r="25" spans="1:19" s="445" customFormat="1" ht="15" thickBot="1">
      <c r="A25" s="825" t="s">
        <v>703</v>
      </c>
      <c r="B25" s="938"/>
      <c r="C25" s="939">
        <f>IF(Onbekend_ele_kWh="---",0,Onbekend_ele_kWh)/1000+IF(REST_rest_ele_kWh="---",0,REST_rest_ele_kWh)/1000</f>
        <v>312.26603699999998</v>
      </c>
      <c r="D25" s="939"/>
      <c r="E25" s="939">
        <f>IF(onbekend_gas_kWh="---",0,onbekend_gas_kWh)/1000+IF(REST_rest_gas_kWh="---",0,REST_rest_gas_kWh)/1000</f>
        <v>1071.3192839999999</v>
      </c>
      <c r="F25" s="939"/>
      <c r="G25" s="939"/>
      <c r="H25" s="939"/>
      <c r="I25" s="939"/>
      <c r="J25" s="939"/>
      <c r="K25" s="939"/>
      <c r="L25" s="939"/>
      <c r="M25" s="939"/>
      <c r="N25" s="939"/>
      <c r="O25" s="939"/>
      <c r="P25" s="939"/>
      <c r="Q25" s="940"/>
      <c r="R25" s="685">
        <f>SUM(C25:Q25)</f>
        <v>1383.585321</v>
      </c>
      <c r="S25" s="67"/>
    </row>
    <row r="26" spans="1:19" s="445" customFormat="1" ht="15.75" thickBot="1">
      <c r="A26" s="690" t="s">
        <v>704</v>
      </c>
      <c r="B26" s="811"/>
      <c r="C26" s="806">
        <f>SUM(C24:C25)</f>
        <v>2149.3764891508404</v>
      </c>
      <c r="D26" s="806">
        <f t="shared" ref="D26:R26" si="2">SUM(D24:D25)</f>
        <v>62.357142857142847</v>
      </c>
      <c r="E26" s="806">
        <f t="shared" si="2"/>
        <v>1518.5798425769999</v>
      </c>
      <c r="F26" s="806">
        <f t="shared" si="2"/>
        <v>68.511468080719396</v>
      </c>
      <c r="G26" s="806">
        <f t="shared" si="2"/>
        <v>5960.2961941993808</v>
      </c>
      <c r="H26" s="806">
        <f t="shared" si="2"/>
        <v>0</v>
      </c>
      <c r="I26" s="806">
        <f t="shared" si="2"/>
        <v>0</v>
      </c>
      <c r="J26" s="806">
        <f t="shared" si="2"/>
        <v>0</v>
      </c>
      <c r="K26" s="806">
        <f t="shared" si="2"/>
        <v>482.25056333329201</v>
      </c>
      <c r="L26" s="806">
        <f t="shared" si="2"/>
        <v>0</v>
      </c>
      <c r="M26" s="806">
        <f t="shared" si="2"/>
        <v>0</v>
      </c>
      <c r="N26" s="806">
        <f t="shared" si="2"/>
        <v>0</v>
      </c>
      <c r="O26" s="806">
        <f t="shared" si="2"/>
        <v>0</v>
      </c>
      <c r="P26" s="806">
        <f t="shared" si="2"/>
        <v>0</v>
      </c>
      <c r="Q26" s="806">
        <f t="shared" si="2"/>
        <v>0</v>
      </c>
      <c r="R26" s="806">
        <f t="shared" si="2"/>
        <v>10241.371700198375</v>
      </c>
      <c r="S26" s="67"/>
    </row>
    <row r="27" spans="1:19" s="445" customFormat="1" ht="17.25" thickTop="1" thickBot="1">
      <c r="A27" s="691" t="s">
        <v>115</v>
      </c>
      <c r="B27" s="798"/>
      <c r="C27" s="692">
        <f ca="1">C22+C16+C26</f>
        <v>32798.592556477553</v>
      </c>
      <c r="D27" s="692">
        <f t="shared" ref="D27:R27" ca="1" si="3">D22+D16+D26</f>
        <v>62.357142857142847</v>
      </c>
      <c r="E27" s="692">
        <f t="shared" ca="1" si="3"/>
        <v>49641.559659419203</v>
      </c>
      <c r="F27" s="692">
        <f t="shared" si="3"/>
        <v>1104.2016808544727</v>
      </c>
      <c r="G27" s="692">
        <f t="shared" ca="1" si="3"/>
        <v>26595.151539160473</v>
      </c>
      <c r="H27" s="692">
        <f t="shared" si="3"/>
        <v>84581.632111338084</v>
      </c>
      <c r="I27" s="692">
        <f t="shared" si="3"/>
        <v>19224.756001411395</v>
      </c>
      <c r="J27" s="692">
        <f t="shared" si="3"/>
        <v>0</v>
      </c>
      <c r="K27" s="692">
        <f t="shared" si="3"/>
        <v>575.4113368597765</v>
      </c>
      <c r="L27" s="692">
        <f t="shared" si="3"/>
        <v>0</v>
      </c>
      <c r="M27" s="692">
        <f t="shared" ca="1" si="3"/>
        <v>0</v>
      </c>
      <c r="N27" s="692">
        <f t="shared" si="3"/>
        <v>6097.8773905208591</v>
      </c>
      <c r="O27" s="692">
        <f t="shared" ca="1" si="3"/>
        <v>5789.9405412549895</v>
      </c>
      <c r="P27" s="692">
        <f t="shared" si="3"/>
        <v>305.52956578560287</v>
      </c>
      <c r="Q27" s="692">
        <f t="shared" si="3"/>
        <v>452.69893376659581</v>
      </c>
      <c r="R27" s="692">
        <f t="shared" ca="1" si="3"/>
        <v>227229.70845970616</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1473.8342882658587</v>
      </c>
      <c r="D40" s="682">
        <f ca="1">tertiair!C20</f>
        <v>0</v>
      </c>
      <c r="E40" s="682">
        <f ca="1">tertiair!D20</f>
        <v>1643.7409630446421</v>
      </c>
      <c r="F40" s="682">
        <f>tertiair!E20</f>
        <v>4.1942152390158665</v>
      </c>
      <c r="G40" s="682">
        <f ca="1">tertiair!F20</f>
        <v>252.17831302413052</v>
      </c>
      <c r="H40" s="682">
        <f>tertiair!G20</f>
        <v>0</v>
      </c>
      <c r="I40" s="682">
        <f>tertiair!H20</f>
        <v>0</v>
      </c>
      <c r="J40" s="682">
        <f>tertiair!I20</f>
        <v>0</v>
      </c>
      <c r="K40" s="682">
        <f>tertiair!J20</f>
        <v>1.9304803140993026E-3</v>
      </c>
      <c r="L40" s="682">
        <f>tertiair!K20</f>
        <v>0</v>
      </c>
      <c r="M40" s="682">
        <f ca="1">tertiair!L20</f>
        <v>0</v>
      </c>
      <c r="N40" s="682">
        <f>tertiair!M20</f>
        <v>0</v>
      </c>
      <c r="O40" s="682">
        <f ca="1">tertiair!N20</f>
        <v>0</v>
      </c>
      <c r="P40" s="682">
        <f>tertiair!O20</f>
        <v>0</v>
      </c>
      <c r="Q40" s="765">
        <f>tertiair!P20</f>
        <v>0</v>
      </c>
      <c r="R40" s="844">
        <f t="shared" ca="1" si="4"/>
        <v>3373.9497100539611</v>
      </c>
    </row>
    <row r="41" spans="1:18">
      <c r="A41" s="816" t="s">
        <v>220</v>
      </c>
      <c r="B41" s="823"/>
      <c r="C41" s="682">
        <f ca="1">huishoudens!B12</f>
        <v>3062.5047121564562</v>
      </c>
      <c r="D41" s="682">
        <f ca="1">huishoudens!C12</f>
        <v>0</v>
      </c>
      <c r="E41" s="682">
        <f>huishoudens!D12</f>
        <v>7377.9415460633863</v>
      </c>
      <c r="F41" s="682">
        <f>huishoudens!E12</f>
        <v>184.58102528179239</v>
      </c>
      <c r="G41" s="682">
        <f>huishoudens!F12</f>
        <v>4931.3269421661244</v>
      </c>
      <c r="H41" s="682">
        <f>huishoudens!G12</f>
        <v>0</v>
      </c>
      <c r="I41" s="682">
        <f>huishoudens!H12</f>
        <v>0</v>
      </c>
      <c r="J41" s="682">
        <f>huishoudens!I12</f>
        <v>0</v>
      </c>
      <c r="K41" s="682">
        <f>huishoudens!J12</f>
        <v>32.709330431354381</v>
      </c>
      <c r="L41" s="682">
        <f>huishoudens!K12</f>
        <v>0</v>
      </c>
      <c r="M41" s="682">
        <f>huishoudens!L12</f>
        <v>0</v>
      </c>
      <c r="N41" s="682">
        <f>huishoudens!M12</f>
        <v>0</v>
      </c>
      <c r="O41" s="682">
        <f>huishoudens!N12</f>
        <v>0</v>
      </c>
      <c r="P41" s="682">
        <f>huishoudens!O12</f>
        <v>0</v>
      </c>
      <c r="Q41" s="765">
        <f>huishoudens!P12</f>
        <v>0</v>
      </c>
      <c r="R41" s="844">
        <f t="shared" ca="1" si="4"/>
        <v>15589.063556099114</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1326.9586932717473</v>
      </c>
      <c r="D43" s="682">
        <f ca="1">industrie!C22</f>
        <v>0</v>
      </c>
      <c r="E43" s="682">
        <f>industrie!D22</f>
        <v>636.54344980531209</v>
      </c>
      <c r="F43" s="682">
        <f>industrie!E22</f>
        <v>3.787593968291513</v>
      </c>
      <c r="G43" s="682">
        <f>industrie!F22</f>
        <v>326.00112191435664</v>
      </c>
      <c r="H43" s="682">
        <f>industrie!G22</f>
        <v>0</v>
      </c>
      <c r="I43" s="682">
        <f>industrie!H22</f>
        <v>0</v>
      </c>
      <c r="J43" s="682">
        <f>industrie!I22</f>
        <v>0</v>
      </c>
      <c r="K43" s="682">
        <f>industrie!J22</f>
        <v>0.26765291670702435</v>
      </c>
      <c r="L43" s="682">
        <f>industrie!K22</f>
        <v>0</v>
      </c>
      <c r="M43" s="682">
        <f>industrie!L22</f>
        <v>0</v>
      </c>
      <c r="N43" s="682">
        <f>industrie!M22</f>
        <v>0</v>
      </c>
      <c r="O43" s="682">
        <f>industrie!N22</f>
        <v>0</v>
      </c>
      <c r="P43" s="682">
        <f>industrie!O22</f>
        <v>0</v>
      </c>
      <c r="Q43" s="765">
        <f>industrie!P22</f>
        <v>0</v>
      </c>
      <c r="R43" s="843">
        <f t="shared" ca="1" si="4"/>
        <v>2293.5585118764143</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5863.2976936940622</v>
      </c>
      <c r="D46" s="718">
        <f t="shared" ref="D46:Q46" ca="1" si="5">SUM(D39:D45)</f>
        <v>0</v>
      </c>
      <c r="E46" s="718">
        <f t="shared" ca="1" si="5"/>
        <v>9658.2259589133409</v>
      </c>
      <c r="F46" s="718">
        <f t="shared" si="5"/>
        <v>192.56283448909977</v>
      </c>
      <c r="G46" s="718">
        <f t="shared" ca="1" si="5"/>
        <v>5509.5063771046116</v>
      </c>
      <c r="H46" s="718">
        <f t="shared" si="5"/>
        <v>0</v>
      </c>
      <c r="I46" s="718">
        <f t="shared" si="5"/>
        <v>0</v>
      </c>
      <c r="J46" s="718">
        <f t="shared" si="5"/>
        <v>0</v>
      </c>
      <c r="K46" s="718">
        <f t="shared" si="5"/>
        <v>32.978913828375504</v>
      </c>
      <c r="L46" s="718">
        <f t="shared" si="5"/>
        <v>0</v>
      </c>
      <c r="M46" s="718">
        <f t="shared" ca="1" si="5"/>
        <v>0</v>
      </c>
      <c r="N46" s="718">
        <f t="shared" si="5"/>
        <v>0</v>
      </c>
      <c r="O46" s="718">
        <f t="shared" ca="1" si="5"/>
        <v>0</v>
      </c>
      <c r="P46" s="718">
        <f t="shared" si="5"/>
        <v>0</v>
      </c>
      <c r="Q46" s="718">
        <f t="shared" si="5"/>
        <v>0</v>
      </c>
      <c r="R46" s="718">
        <f ca="1">SUM(R39:R45)</f>
        <v>21256.571778029487</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1.5436001104752943</v>
      </c>
      <c r="D49" s="682">
        <f ca="1">transport!C58</f>
        <v>0</v>
      </c>
      <c r="E49" s="682">
        <f>transport!D58</f>
        <v>0</v>
      </c>
      <c r="F49" s="682">
        <f>transport!E58</f>
        <v>0</v>
      </c>
      <c r="G49" s="682">
        <f>transport!F58</f>
        <v>0</v>
      </c>
      <c r="H49" s="682">
        <f>transport!G58</f>
        <v>152.82291208889359</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154.36651219936888</v>
      </c>
    </row>
    <row r="50" spans="1:18">
      <c r="A50" s="819" t="s">
        <v>302</v>
      </c>
      <c r="B50" s="829"/>
      <c r="C50" s="688">
        <f ca="1">transport!B18</f>
        <v>35.029993651808454</v>
      </c>
      <c r="D50" s="688">
        <f>transport!C18</f>
        <v>0</v>
      </c>
      <c r="E50" s="688">
        <f>transport!D18</f>
        <v>62.615964088786043</v>
      </c>
      <c r="F50" s="688">
        <f>transport!E18</f>
        <v>42.538843810542218</v>
      </c>
      <c r="G50" s="688">
        <f>transport!F18</f>
        <v>0</v>
      </c>
      <c r="H50" s="688">
        <f>transport!G18</f>
        <v>22430.472861638376</v>
      </c>
      <c r="I50" s="688">
        <f>transport!H18</f>
        <v>4786.9642443514376</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27357.62190754095</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36.57359376228375</v>
      </c>
      <c r="D52" s="718">
        <f t="shared" ref="D52:Q52" ca="1" si="6">SUM(D48:D51)</f>
        <v>0</v>
      </c>
      <c r="E52" s="718">
        <f t="shared" si="6"/>
        <v>62.615964088786043</v>
      </c>
      <c r="F52" s="718">
        <f t="shared" si="6"/>
        <v>42.538843810542218</v>
      </c>
      <c r="G52" s="718">
        <f t="shared" si="6"/>
        <v>0</v>
      </c>
      <c r="H52" s="718">
        <f t="shared" si="6"/>
        <v>22583.29577372727</v>
      </c>
      <c r="I52" s="718">
        <f t="shared" si="6"/>
        <v>4786.9642443514376</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27511.988419740319</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353.63759988906179</v>
      </c>
      <c r="D54" s="688">
        <f ca="1">+landbouw!C12</f>
        <v>0</v>
      </c>
      <c r="E54" s="688">
        <f>+landbouw!D12</f>
        <v>90.346632832554008</v>
      </c>
      <c r="F54" s="688">
        <f>+landbouw!E12</f>
        <v>15.552103254323303</v>
      </c>
      <c r="G54" s="688">
        <f>+landbouw!F12</f>
        <v>1591.3990838512348</v>
      </c>
      <c r="H54" s="688">
        <f>+landbouw!G12</f>
        <v>0</v>
      </c>
      <c r="I54" s="688">
        <f>+landbouw!H12</f>
        <v>0</v>
      </c>
      <c r="J54" s="688">
        <f>+landbouw!I12</f>
        <v>0</v>
      </c>
      <c r="K54" s="688">
        <f>+landbouw!J12</f>
        <v>170.71669941998536</v>
      </c>
      <c r="L54" s="688">
        <f>+landbouw!K12</f>
        <v>0</v>
      </c>
      <c r="M54" s="688">
        <f>+landbouw!L12</f>
        <v>0</v>
      </c>
      <c r="N54" s="688">
        <f>+landbouw!M12</f>
        <v>0</v>
      </c>
      <c r="O54" s="688">
        <f>+landbouw!N12</f>
        <v>0</v>
      </c>
      <c r="P54" s="688">
        <f>+landbouw!O12</f>
        <v>0</v>
      </c>
      <c r="Q54" s="689">
        <f>+landbouw!P12</f>
        <v>0</v>
      </c>
      <c r="R54" s="717">
        <f ca="1">SUM(C54:Q54)</f>
        <v>2221.6521192471591</v>
      </c>
    </row>
    <row r="55" spans="1:18" ht="15" thickBot="1">
      <c r="A55" s="819" t="s">
        <v>703</v>
      </c>
      <c r="B55" s="829"/>
      <c r="C55" s="688">
        <f ca="1">C25*'EF ele_warmte'!B12</f>
        <v>60.110164700364962</v>
      </c>
      <c r="D55" s="688"/>
      <c r="E55" s="688">
        <f>E25*EF_CO2_aardgas</f>
        <v>216.40649536800001</v>
      </c>
      <c r="F55" s="688"/>
      <c r="G55" s="688"/>
      <c r="H55" s="688"/>
      <c r="I55" s="688"/>
      <c r="J55" s="688"/>
      <c r="K55" s="688"/>
      <c r="L55" s="688"/>
      <c r="M55" s="688"/>
      <c r="N55" s="688"/>
      <c r="O55" s="688"/>
      <c r="P55" s="688"/>
      <c r="Q55" s="689"/>
      <c r="R55" s="717">
        <f ca="1">SUM(C55:Q55)</f>
        <v>276.51666006836496</v>
      </c>
    </row>
    <row r="56" spans="1:18" ht="15.75" thickBot="1">
      <c r="A56" s="817" t="s">
        <v>704</v>
      </c>
      <c r="B56" s="830"/>
      <c r="C56" s="718">
        <f ca="1">SUM(C54:C55)</f>
        <v>413.74776458942677</v>
      </c>
      <c r="D56" s="718">
        <f t="shared" ref="D56:Q56" ca="1" si="7">SUM(D54:D55)</f>
        <v>0</v>
      </c>
      <c r="E56" s="718">
        <f t="shared" si="7"/>
        <v>306.75312820055399</v>
      </c>
      <c r="F56" s="718">
        <f t="shared" si="7"/>
        <v>15.552103254323303</v>
      </c>
      <c r="G56" s="718">
        <f t="shared" si="7"/>
        <v>1591.3990838512348</v>
      </c>
      <c r="H56" s="718">
        <f t="shared" si="7"/>
        <v>0</v>
      </c>
      <c r="I56" s="718">
        <f t="shared" si="7"/>
        <v>0</v>
      </c>
      <c r="J56" s="718">
        <f t="shared" si="7"/>
        <v>0</v>
      </c>
      <c r="K56" s="718">
        <f t="shared" si="7"/>
        <v>170.71669941998536</v>
      </c>
      <c r="L56" s="718">
        <f t="shared" si="7"/>
        <v>0</v>
      </c>
      <c r="M56" s="718">
        <f t="shared" si="7"/>
        <v>0</v>
      </c>
      <c r="N56" s="718">
        <f t="shared" si="7"/>
        <v>0</v>
      </c>
      <c r="O56" s="718">
        <f t="shared" si="7"/>
        <v>0</v>
      </c>
      <c r="P56" s="718">
        <f t="shared" si="7"/>
        <v>0</v>
      </c>
      <c r="Q56" s="719">
        <f t="shared" si="7"/>
        <v>0</v>
      </c>
      <c r="R56" s="720">
        <f ca="1">SUM(R54:R55)</f>
        <v>2498.1687793155243</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6313.6190520457731</v>
      </c>
      <c r="D61" s="726">
        <f t="shared" ref="D61:Q61" ca="1" si="8">D46+D52+D56</f>
        <v>0</v>
      </c>
      <c r="E61" s="726">
        <f t="shared" ca="1" si="8"/>
        <v>10027.595051202681</v>
      </c>
      <c r="F61" s="726">
        <f t="shared" si="8"/>
        <v>250.6537815539653</v>
      </c>
      <c r="G61" s="726">
        <f t="shared" ca="1" si="8"/>
        <v>7100.9054609558461</v>
      </c>
      <c r="H61" s="726">
        <f t="shared" si="8"/>
        <v>22583.29577372727</v>
      </c>
      <c r="I61" s="726">
        <f t="shared" si="8"/>
        <v>4786.9642443514376</v>
      </c>
      <c r="J61" s="726">
        <f t="shared" si="8"/>
        <v>0</v>
      </c>
      <c r="K61" s="726">
        <f t="shared" si="8"/>
        <v>203.69561324836087</v>
      </c>
      <c r="L61" s="726">
        <f t="shared" si="8"/>
        <v>0</v>
      </c>
      <c r="M61" s="726">
        <f t="shared" ca="1" si="8"/>
        <v>0</v>
      </c>
      <c r="N61" s="726">
        <f t="shared" si="8"/>
        <v>0</v>
      </c>
      <c r="O61" s="726">
        <f t="shared" ca="1" si="8"/>
        <v>0</v>
      </c>
      <c r="P61" s="726">
        <f t="shared" si="8"/>
        <v>0</v>
      </c>
      <c r="Q61" s="726">
        <f t="shared" si="8"/>
        <v>0</v>
      </c>
      <c r="R61" s="726">
        <f ca="1">R46+R52+R56</f>
        <v>51266.728977085331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0.19249664573789357</v>
      </c>
      <c r="D63" s="772">
        <f t="shared" ca="1" si="9"/>
        <v>0</v>
      </c>
      <c r="E63" s="964">
        <f t="shared" ca="1" si="9"/>
        <v>0.20200000000000004</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4186.5305562704352</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43.649999999999991</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51.35294117647058</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4230.1805562704349</v>
      </c>
      <c r="C78" s="744">
        <f>SUM(C72:C77)</f>
        <v>0</v>
      </c>
      <c r="D78" s="745">
        <f t="shared" ref="D78:H78" si="10">SUM(D76:D77)</f>
        <v>0</v>
      </c>
      <c r="E78" s="745">
        <f t="shared" si="10"/>
        <v>0</v>
      </c>
      <c r="F78" s="745">
        <f t="shared" si="10"/>
        <v>0</v>
      </c>
      <c r="G78" s="745">
        <f t="shared" si="10"/>
        <v>0</v>
      </c>
      <c r="H78" s="745">
        <f t="shared" si="10"/>
        <v>0</v>
      </c>
      <c r="I78" s="745">
        <f>SUM(I76:I77)</f>
        <v>0</v>
      </c>
      <c r="J78" s="745">
        <f>SUM(J76:J77)</f>
        <v>51.35294117647058</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62.357142857142847</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73.361344537815114</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62.357142857142847</v>
      </c>
      <c r="C90" s="744">
        <f>SUM(C87:C89)</f>
        <v>0</v>
      </c>
      <c r="D90" s="744">
        <f t="shared" ref="D90:H90" si="12">SUM(D87:D89)</f>
        <v>0</v>
      </c>
      <c r="E90" s="744">
        <f t="shared" si="12"/>
        <v>0</v>
      </c>
      <c r="F90" s="744">
        <f t="shared" si="12"/>
        <v>0</v>
      </c>
      <c r="G90" s="744">
        <f t="shared" si="12"/>
        <v>0</v>
      </c>
      <c r="H90" s="744">
        <f t="shared" si="12"/>
        <v>0</v>
      </c>
      <c r="I90" s="744">
        <f>SUM(I87:I89)</f>
        <v>0</v>
      </c>
      <c r="J90" s="744">
        <f>SUM(J87:J89)</f>
        <v>73.361344537815114</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15909.39260482705</v>
      </c>
      <c r="C4" s="449">
        <f>huishoudens!C8</f>
        <v>0</v>
      </c>
      <c r="D4" s="449">
        <f>huishoudens!D8</f>
        <v>36524.463099323693</v>
      </c>
      <c r="E4" s="449">
        <f>huishoudens!E8</f>
        <v>813.1322699638431</v>
      </c>
      <c r="F4" s="449">
        <f>huishoudens!F8</f>
        <v>18469.389296502337</v>
      </c>
      <c r="G4" s="449">
        <f>huishoudens!G8</f>
        <v>0</v>
      </c>
      <c r="H4" s="449">
        <f>huishoudens!H8</f>
        <v>0</v>
      </c>
      <c r="I4" s="449">
        <f>huishoudens!I8</f>
        <v>0</v>
      </c>
      <c r="J4" s="449">
        <f>huishoudens!J8</f>
        <v>92.399238506650804</v>
      </c>
      <c r="K4" s="449">
        <f>huishoudens!K8</f>
        <v>0</v>
      </c>
      <c r="L4" s="449">
        <f>huishoudens!L8</f>
        <v>0</v>
      </c>
      <c r="M4" s="449">
        <f>huishoudens!M8</f>
        <v>0</v>
      </c>
      <c r="N4" s="449">
        <f>huishoudens!N8</f>
        <v>5344.8800732415621</v>
      </c>
      <c r="O4" s="449">
        <f>huishoudens!O8</f>
        <v>305.52956578560287</v>
      </c>
      <c r="P4" s="450">
        <f>huishoudens!P8</f>
        <v>347.62065715360575</v>
      </c>
      <c r="Q4" s="451">
        <f>SUM(B4:P4)</f>
        <v>77806.806805304339</v>
      </c>
    </row>
    <row r="5" spans="1:17">
      <c r="A5" s="448" t="s">
        <v>155</v>
      </c>
      <c r="B5" s="449">
        <f ca="1">tertiair!B16</f>
        <v>6971.6625599999998</v>
      </c>
      <c r="C5" s="449">
        <f ca="1">tertiair!C16</f>
        <v>0</v>
      </c>
      <c r="D5" s="449">
        <f ca="1">tertiair!D16</f>
        <v>8137.3315002209993</v>
      </c>
      <c r="E5" s="449">
        <f>tertiair!E16</f>
        <v>18.476719114607342</v>
      </c>
      <c r="F5" s="449">
        <f ca="1">tertiair!F16</f>
        <v>944.48806376078835</v>
      </c>
      <c r="G5" s="449">
        <f>tertiair!G16</f>
        <v>0</v>
      </c>
      <c r="H5" s="449">
        <f>tertiair!H16</f>
        <v>0</v>
      </c>
      <c r="I5" s="449">
        <f>tertiair!I16</f>
        <v>0</v>
      </c>
      <c r="J5" s="449">
        <f>tertiair!J16</f>
        <v>5.453334220619499E-3</v>
      </c>
      <c r="K5" s="449">
        <f>tertiair!K16</f>
        <v>0</v>
      </c>
      <c r="L5" s="449">
        <f ca="1">tertiair!L16</f>
        <v>0</v>
      </c>
      <c r="M5" s="449">
        <f>tertiair!M16</f>
        <v>0</v>
      </c>
      <c r="N5" s="449">
        <f ca="1">tertiair!N16</f>
        <v>205.96033984886628</v>
      </c>
      <c r="O5" s="449">
        <f>tertiair!O16</f>
        <v>0</v>
      </c>
      <c r="P5" s="450">
        <f>tertiair!P16</f>
        <v>105.07827661299004</v>
      </c>
      <c r="Q5" s="448">
        <f t="shared" ref="Q5:Q14" ca="1" si="0">SUM(B5:P5)</f>
        <v>16383.002912892473</v>
      </c>
    </row>
    <row r="6" spans="1:17">
      <c r="A6" s="448" t="s">
        <v>193</v>
      </c>
      <c r="B6" s="449">
        <f>'openbare verlichting'!B8</f>
        <v>684.75286800000003</v>
      </c>
      <c r="C6" s="449"/>
      <c r="D6" s="449"/>
      <c r="E6" s="449"/>
      <c r="F6" s="449"/>
      <c r="G6" s="449"/>
      <c r="H6" s="449"/>
      <c r="I6" s="449"/>
      <c r="J6" s="449"/>
      <c r="K6" s="449"/>
      <c r="L6" s="449"/>
      <c r="M6" s="449"/>
      <c r="N6" s="449"/>
      <c r="O6" s="449"/>
      <c r="P6" s="450"/>
      <c r="Q6" s="448">
        <f t="shared" si="0"/>
        <v>684.75286800000003</v>
      </c>
    </row>
    <row r="7" spans="1:17">
      <c r="A7" s="448" t="s">
        <v>111</v>
      </c>
      <c r="B7" s="449">
        <f>landbouw!B8</f>
        <v>1837.1104521508403</v>
      </c>
      <c r="C7" s="449">
        <f>landbouw!C8</f>
        <v>62.357142857142847</v>
      </c>
      <c r="D7" s="449">
        <f>landbouw!D8</f>
        <v>447.26055857700004</v>
      </c>
      <c r="E7" s="449">
        <f>landbouw!E8</f>
        <v>68.511468080719396</v>
      </c>
      <c r="F7" s="449">
        <f>landbouw!F8</f>
        <v>5960.2961941993808</v>
      </c>
      <c r="G7" s="449">
        <f>landbouw!G8</f>
        <v>0</v>
      </c>
      <c r="H7" s="449">
        <f>landbouw!H8</f>
        <v>0</v>
      </c>
      <c r="I7" s="449">
        <f>landbouw!I8</f>
        <v>0</v>
      </c>
      <c r="J7" s="449">
        <f>landbouw!J8</f>
        <v>482.25056333329201</v>
      </c>
      <c r="K7" s="449">
        <f>landbouw!K8</f>
        <v>0</v>
      </c>
      <c r="L7" s="449">
        <f>landbouw!L8</f>
        <v>0</v>
      </c>
      <c r="M7" s="449">
        <f>landbouw!M8</f>
        <v>0</v>
      </c>
      <c r="N7" s="449">
        <f>landbouw!N8</f>
        <v>0</v>
      </c>
      <c r="O7" s="449">
        <f>landbouw!O8</f>
        <v>0</v>
      </c>
      <c r="P7" s="450">
        <f>landbouw!P8</f>
        <v>0</v>
      </c>
      <c r="Q7" s="448">
        <f t="shared" si="0"/>
        <v>8857.7863791983746</v>
      </c>
    </row>
    <row r="8" spans="1:17">
      <c r="A8" s="448" t="s">
        <v>618</v>
      </c>
      <c r="B8" s="449">
        <f>industrie!B18</f>
        <v>6893.412029000001</v>
      </c>
      <c r="C8" s="449">
        <f>industrie!C18</f>
        <v>0</v>
      </c>
      <c r="D8" s="449">
        <f>industrie!D18</f>
        <v>3151.2051970560001</v>
      </c>
      <c r="E8" s="449">
        <f>industrie!E18</f>
        <v>16.685435983663051</v>
      </c>
      <c r="F8" s="449">
        <f>industrie!F18</f>
        <v>1220.977984697965</v>
      </c>
      <c r="G8" s="449">
        <f>industrie!G18</f>
        <v>0</v>
      </c>
      <c r="H8" s="449">
        <f>industrie!H18</f>
        <v>0</v>
      </c>
      <c r="I8" s="449">
        <f>industrie!I18</f>
        <v>0</v>
      </c>
      <c r="J8" s="449">
        <f>industrie!J18</f>
        <v>0.7560816856130631</v>
      </c>
      <c r="K8" s="449">
        <f>industrie!K18</f>
        <v>0</v>
      </c>
      <c r="L8" s="449">
        <f>industrie!L18</f>
        <v>0</v>
      </c>
      <c r="M8" s="449">
        <f>industrie!M18</f>
        <v>0</v>
      </c>
      <c r="N8" s="449">
        <f>industrie!N18</f>
        <v>239.10012816456103</v>
      </c>
      <c r="O8" s="449">
        <f>industrie!O18</f>
        <v>0</v>
      </c>
      <c r="P8" s="450">
        <f>industrie!P18</f>
        <v>0</v>
      </c>
      <c r="Q8" s="448">
        <f t="shared" si="0"/>
        <v>11522.136856587804</v>
      </c>
    </row>
    <row r="9" spans="1:17" s="454" customFormat="1">
      <c r="A9" s="452" t="s">
        <v>544</v>
      </c>
      <c r="B9" s="453">
        <f>transport!B14</f>
        <v>181.97716390084966</v>
      </c>
      <c r="C9" s="453">
        <f>transport!C14</f>
        <v>0</v>
      </c>
      <c r="D9" s="453">
        <f>transport!D14</f>
        <v>309.98002024151504</v>
      </c>
      <c r="E9" s="453">
        <f>transport!E14</f>
        <v>187.39578771163971</v>
      </c>
      <c r="F9" s="453">
        <f>transport!F14</f>
        <v>0</v>
      </c>
      <c r="G9" s="453">
        <f>transport!G14</f>
        <v>84009.261654076312</v>
      </c>
      <c r="H9" s="453">
        <f>transport!H14</f>
        <v>19224.756001411395</v>
      </c>
      <c r="I9" s="453">
        <f>transport!I14</f>
        <v>0</v>
      </c>
      <c r="J9" s="453">
        <f>transport!J14</f>
        <v>0</v>
      </c>
      <c r="K9" s="453">
        <f>transport!K14</f>
        <v>0</v>
      </c>
      <c r="L9" s="453">
        <f>transport!L14</f>
        <v>0</v>
      </c>
      <c r="M9" s="453">
        <f>transport!M14</f>
        <v>6066.2718987109974</v>
      </c>
      <c r="N9" s="453">
        <f>transport!N14</f>
        <v>0</v>
      </c>
      <c r="O9" s="453">
        <f>transport!O14</f>
        <v>0</v>
      </c>
      <c r="P9" s="453">
        <f>transport!P14</f>
        <v>0</v>
      </c>
      <c r="Q9" s="452">
        <f>SUM(B9:P9)</f>
        <v>109979.64252605272</v>
      </c>
    </row>
    <row r="10" spans="1:17">
      <c r="A10" s="448" t="s">
        <v>534</v>
      </c>
      <c r="B10" s="449">
        <f>transport!B54</f>
        <v>8.0188415988145803</v>
      </c>
      <c r="C10" s="449">
        <f>transport!C54</f>
        <v>0</v>
      </c>
      <c r="D10" s="449">
        <f>transport!D54</f>
        <v>0</v>
      </c>
      <c r="E10" s="449">
        <f>transport!E54</f>
        <v>0</v>
      </c>
      <c r="F10" s="449">
        <f>transport!F54</f>
        <v>0</v>
      </c>
      <c r="G10" s="449">
        <f>transport!G54</f>
        <v>572.37045726177371</v>
      </c>
      <c r="H10" s="449">
        <f>transport!H54</f>
        <v>0</v>
      </c>
      <c r="I10" s="449">
        <f>transport!I54</f>
        <v>0</v>
      </c>
      <c r="J10" s="449">
        <f>transport!J54</f>
        <v>0</v>
      </c>
      <c r="K10" s="449">
        <f>transport!K54</f>
        <v>0</v>
      </c>
      <c r="L10" s="449">
        <f>transport!L54</f>
        <v>0</v>
      </c>
      <c r="M10" s="449">
        <f>transport!M54</f>
        <v>31.605491809861213</v>
      </c>
      <c r="N10" s="449">
        <f>transport!N54</f>
        <v>0</v>
      </c>
      <c r="O10" s="449">
        <f>transport!O54</f>
        <v>0</v>
      </c>
      <c r="P10" s="450">
        <f>transport!P54</f>
        <v>0</v>
      </c>
      <c r="Q10" s="448">
        <f t="shared" si="0"/>
        <v>611.99479067044945</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312.26603699999998</v>
      </c>
      <c r="C14" s="456"/>
      <c r="D14" s="456">
        <f>'SEAP template'!E25</f>
        <v>1071.3192839999999</v>
      </c>
      <c r="E14" s="456"/>
      <c r="F14" s="456"/>
      <c r="G14" s="456"/>
      <c r="H14" s="456"/>
      <c r="I14" s="456"/>
      <c r="J14" s="456"/>
      <c r="K14" s="456"/>
      <c r="L14" s="456"/>
      <c r="M14" s="456"/>
      <c r="N14" s="456"/>
      <c r="O14" s="456"/>
      <c r="P14" s="457"/>
      <c r="Q14" s="448">
        <f t="shared" si="0"/>
        <v>1383.585321</v>
      </c>
    </row>
    <row r="15" spans="1:17" s="460" customFormat="1">
      <c r="A15" s="458" t="s">
        <v>538</v>
      </c>
      <c r="B15" s="459">
        <f ca="1">SUM(B4:B14)</f>
        <v>32798.592556477553</v>
      </c>
      <c r="C15" s="459">
        <f t="shared" ref="C15:Q15" ca="1" si="1">SUM(C4:C14)</f>
        <v>62.357142857142847</v>
      </c>
      <c r="D15" s="459">
        <f t="shared" ca="1" si="1"/>
        <v>49641.559659419203</v>
      </c>
      <c r="E15" s="459">
        <f t="shared" si="1"/>
        <v>1104.2016808544727</v>
      </c>
      <c r="F15" s="459">
        <f t="shared" ca="1" si="1"/>
        <v>26595.151539160473</v>
      </c>
      <c r="G15" s="459">
        <f t="shared" si="1"/>
        <v>84581.632111338084</v>
      </c>
      <c r="H15" s="459">
        <f t="shared" si="1"/>
        <v>19224.756001411395</v>
      </c>
      <c r="I15" s="459">
        <f t="shared" si="1"/>
        <v>0</v>
      </c>
      <c r="J15" s="459">
        <f t="shared" si="1"/>
        <v>575.4113368597765</v>
      </c>
      <c r="K15" s="459">
        <f t="shared" si="1"/>
        <v>0</v>
      </c>
      <c r="L15" s="459">
        <f t="shared" ca="1" si="1"/>
        <v>0</v>
      </c>
      <c r="M15" s="459">
        <f t="shared" si="1"/>
        <v>6097.8773905208591</v>
      </c>
      <c r="N15" s="459">
        <f t="shared" ca="1" si="1"/>
        <v>5789.9405412549895</v>
      </c>
      <c r="O15" s="459">
        <f t="shared" si="1"/>
        <v>305.52956578560287</v>
      </c>
      <c r="P15" s="459">
        <f t="shared" si="1"/>
        <v>452.69893376659581</v>
      </c>
      <c r="Q15" s="459">
        <f t="shared" ca="1" si="1"/>
        <v>227229.70845970613</v>
      </c>
    </row>
    <row r="17" spans="1:17">
      <c r="A17" s="461" t="s">
        <v>539</v>
      </c>
      <c r="B17" s="777">
        <f ca="1">huishoudens!B10</f>
        <v>0.19249664573789357</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3062.5047121564562</v>
      </c>
      <c r="C22" s="449">
        <f t="shared" ref="C22:C32" ca="1" si="3">C4*$C$17</f>
        <v>0</v>
      </c>
      <c r="D22" s="449">
        <f t="shared" ref="D22:D32" si="4">D4*$D$17</f>
        <v>7377.9415460633863</v>
      </c>
      <c r="E22" s="449">
        <f t="shared" ref="E22:E32" si="5">E4*$E$17</f>
        <v>184.58102528179239</v>
      </c>
      <c r="F22" s="449">
        <f t="shared" ref="F22:F32" si="6">F4*$F$17</f>
        <v>4931.3269421661244</v>
      </c>
      <c r="G22" s="449">
        <f t="shared" ref="G22:G32" si="7">G4*$G$17</f>
        <v>0</v>
      </c>
      <c r="H22" s="449">
        <f t="shared" ref="H22:H32" si="8">H4*$H$17</f>
        <v>0</v>
      </c>
      <c r="I22" s="449">
        <f t="shared" ref="I22:I32" si="9">I4*$I$17</f>
        <v>0</v>
      </c>
      <c r="J22" s="449">
        <f t="shared" ref="J22:J32" si="10">J4*$J$17</f>
        <v>32.709330431354381</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15589.063556099114</v>
      </c>
    </row>
    <row r="23" spans="1:17">
      <c r="A23" s="448" t="s">
        <v>155</v>
      </c>
      <c r="B23" s="449">
        <f t="shared" ca="1" si="2"/>
        <v>1342.0216580164561</v>
      </c>
      <c r="C23" s="449">
        <f t="shared" ca="1" si="3"/>
        <v>0</v>
      </c>
      <c r="D23" s="449">
        <f t="shared" ca="1" si="4"/>
        <v>1643.7409630446421</v>
      </c>
      <c r="E23" s="449">
        <f t="shared" si="5"/>
        <v>4.1942152390158665</v>
      </c>
      <c r="F23" s="449">
        <f t="shared" ca="1" si="6"/>
        <v>252.17831302413052</v>
      </c>
      <c r="G23" s="449">
        <f t="shared" si="7"/>
        <v>0</v>
      </c>
      <c r="H23" s="449">
        <f t="shared" si="8"/>
        <v>0</v>
      </c>
      <c r="I23" s="449">
        <f t="shared" si="9"/>
        <v>0</v>
      </c>
      <c r="J23" s="449">
        <f t="shared" si="10"/>
        <v>1.9304803140993026E-3</v>
      </c>
      <c r="K23" s="449">
        <f t="shared" si="11"/>
        <v>0</v>
      </c>
      <c r="L23" s="449">
        <f t="shared" ca="1" si="12"/>
        <v>0</v>
      </c>
      <c r="M23" s="449">
        <f t="shared" si="13"/>
        <v>0</v>
      </c>
      <c r="N23" s="449">
        <f t="shared" ca="1" si="14"/>
        <v>0</v>
      </c>
      <c r="O23" s="449">
        <f t="shared" si="15"/>
        <v>0</v>
      </c>
      <c r="P23" s="450">
        <f t="shared" si="16"/>
        <v>0</v>
      </c>
      <c r="Q23" s="448">
        <f t="shared" ref="Q23:Q31" ca="1" si="17">SUM(B23:P23)</f>
        <v>3242.1370798045582</v>
      </c>
    </row>
    <row r="24" spans="1:17">
      <c r="A24" s="448" t="s">
        <v>193</v>
      </c>
      <c r="B24" s="449">
        <f t="shared" ca="1" si="2"/>
        <v>131.81263024940262</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131.81263024940262</v>
      </c>
    </row>
    <row r="25" spans="1:17">
      <c r="A25" s="448" t="s">
        <v>111</v>
      </c>
      <c r="B25" s="449">
        <f t="shared" ca="1" si="2"/>
        <v>353.63759988906179</v>
      </c>
      <c r="C25" s="449">
        <f t="shared" ca="1" si="3"/>
        <v>0</v>
      </c>
      <c r="D25" s="449">
        <f t="shared" si="4"/>
        <v>90.346632832554008</v>
      </c>
      <c r="E25" s="449">
        <f t="shared" si="5"/>
        <v>15.552103254323303</v>
      </c>
      <c r="F25" s="449">
        <f t="shared" si="6"/>
        <v>1591.3990838512348</v>
      </c>
      <c r="G25" s="449">
        <f t="shared" si="7"/>
        <v>0</v>
      </c>
      <c r="H25" s="449">
        <f t="shared" si="8"/>
        <v>0</v>
      </c>
      <c r="I25" s="449">
        <f t="shared" si="9"/>
        <v>0</v>
      </c>
      <c r="J25" s="449">
        <f t="shared" si="10"/>
        <v>170.71669941998536</v>
      </c>
      <c r="K25" s="449">
        <f t="shared" si="11"/>
        <v>0</v>
      </c>
      <c r="L25" s="449">
        <f t="shared" si="12"/>
        <v>0</v>
      </c>
      <c r="M25" s="449">
        <f t="shared" si="13"/>
        <v>0</v>
      </c>
      <c r="N25" s="449">
        <f t="shared" si="14"/>
        <v>0</v>
      </c>
      <c r="O25" s="449">
        <f t="shared" si="15"/>
        <v>0</v>
      </c>
      <c r="P25" s="450">
        <f t="shared" si="16"/>
        <v>0</v>
      </c>
      <c r="Q25" s="448">
        <f t="shared" ca="1" si="17"/>
        <v>2221.6521192471591</v>
      </c>
    </row>
    <row r="26" spans="1:17">
      <c r="A26" s="448" t="s">
        <v>618</v>
      </c>
      <c r="B26" s="449">
        <f t="shared" ca="1" si="2"/>
        <v>1326.9586932717473</v>
      </c>
      <c r="C26" s="449">
        <f t="shared" ca="1" si="3"/>
        <v>0</v>
      </c>
      <c r="D26" s="449">
        <f t="shared" si="4"/>
        <v>636.54344980531209</v>
      </c>
      <c r="E26" s="449">
        <f t="shared" si="5"/>
        <v>3.787593968291513</v>
      </c>
      <c r="F26" s="449">
        <f t="shared" si="6"/>
        <v>326.00112191435664</v>
      </c>
      <c r="G26" s="449">
        <f t="shared" si="7"/>
        <v>0</v>
      </c>
      <c r="H26" s="449">
        <f t="shared" si="8"/>
        <v>0</v>
      </c>
      <c r="I26" s="449">
        <f t="shared" si="9"/>
        <v>0</v>
      </c>
      <c r="J26" s="449">
        <f t="shared" si="10"/>
        <v>0.26765291670702435</v>
      </c>
      <c r="K26" s="449">
        <f t="shared" si="11"/>
        <v>0</v>
      </c>
      <c r="L26" s="449">
        <f t="shared" si="12"/>
        <v>0</v>
      </c>
      <c r="M26" s="449">
        <f t="shared" si="13"/>
        <v>0</v>
      </c>
      <c r="N26" s="449">
        <f t="shared" si="14"/>
        <v>0</v>
      </c>
      <c r="O26" s="449">
        <f t="shared" si="15"/>
        <v>0</v>
      </c>
      <c r="P26" s="450">
        <f t="shared" si="16"/>
        <v>0</v>
      </c>
      <c r="Q26" s="448">
        <f t="shared" ca="1" si="17"/>
        <v>2293.5585118764143</v>
      </c>
    </row>
    <row r="27" spans="1:17" s="454" customFormat="1">
      <c r="A27" s="452" t="s">
        <v>544</v>
      </c>
      <c r="B27" s="771">
        <f t="shared" ca="1" si="2"/>
        <v>35.029993651808454</v>
      </c>
      <c r="C27" s="453">
        <f t="shared" ca="1" si="3"/>
        <v>0</v>
      </c>
      <c r="D27" s="453">
        <f t="shared" si="4"/>
        <v>62.615964088786043</v>
      </c>
      <c r="E27" s="453">
        <f t="shared" si="5"/>
        <v>42.538843810542218</v>
      </c>
      <c r="F27" s="453">
        <f t="shared" si="6"/>
        <v>0</v>
      </c>
      <c r="G27" s="453">
        <f t="shared" si="7"/>
        <v>22430.472861638376</v>
      </c>
      <c r="H27" s="453">
        <f t="shared" si="8"/>
        <v>4786.9642443514376</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27357.62190754095</v>
      </c>
    </row>
    <row r="28" spans="1:17" ht="16.5" customHeight="1">
      <c r="A28" s="448" t="s">
        <v>534</v>
      </c>
      <c r="B28" s="449">
        <f t="shared" ca="1" si="2"/>
        <v>1.5436001104752943</v>
      </c>
      <c r="C28" s="449">
        <f t="shared" ca="1" si="3"/>
        <v>0</v>
      </c>
      <c r="D28" s="449">
        <f t="shared" si="4"/>
        <v>0</v>
      </c>
      <c r="E28" s="449">
        <f t="shared" si="5"/>
        <v>0</v>
      </c>
      <c r="F28" s="449">
        <f t="shared" si="6"/>
        <v>0</v>
      </c>
      <c r="G28" s="449">
        <f t="shared" si="7"/>
        <v>152.82291208889359</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154.36651219936888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60.110164700364962</v>
      </c>
      <c r="C32" s="449">
        <f t="shared" ca="1" si="3"/>
        <v>0</v>
      </c>
      <c r="D32" s="449">
        <f t="shared" si="4"/>
        <v>216.40649536800001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276.51666006836496</v>
      </c>
    </row>
    <row r="33" spans="1:17" s="460" customFormat="1">
      <c r="A33" s="458" t="s">
        <v>538</v>
      </c>
      <c r="B33" s="459">
        <f ca="1">SUM(B22:B32)</f>
        <v>6313.619052045774</v>
      </c>
      <c r="C33" s="459">
        <f t="shared" ref="C33:Q33" ca="1" si="19">SUM(C22:C32)</f>
        <v>0</v>
      </c>
      <c r="D33" s="459">
        <f t="shared" ca="1" si="19"/>
        <v>10027.595051202681</v>
      </c>
      <c r="E33" s="459">
        <f t="shared" si="19"/>
        <v>250.6537815539653</v>
      </c>
      <c r="F33" s="459">
        <f t="shared" ca="1" si="19"/>
        <v>7100.9054609558461</v>
      </c>
      <c r="G33" s="459">
        <f t="shared" si="19"/>
        <v>22583.29577372727</v>
      </c>
      <c r="H33" s="459">
        <f t="shared" si="19"/>
        <v>4786.9642443514376</v>
      </c>
      <c r="I33" s="459">
        <f t="shared" si="19"/>
        <v>0</v>
      </c>
      <c r="J33" s="459">
        <f t="shared" si="19"/>
        <v>203.69561324836087</v>
      </c>
      <c r="K33" s="459">
        <f t="shared" si="19"/>
        <v>0</v>
      </c>
      <c r="L33" s="459">
        <f t="shared" ca="1" si="19"/>
        <v>0</v>
      </c>
      <c r="M33" s="459">
        <f t="shared" si="19"/>
        <v>0</v>
      </c>
      <c r="N33" s="459">
        <f t="shared" ca="1" si="19"/>
        <v>0</v>
      </c>
      <c r="O33" s="459">
        <f t="shared" si="19"/>
        <v>0</v>
      </c>
      <c r="P33" s="459">
        <f t="shared" si="19"/>
        <v>0</v>
      </c>
      <c r="Q33" s="459">
        <f t="shared" ca="1" si="19"/>
        <v>51266.728977085331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4186.5305562704352</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43.649999999999991</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51.35294117647058</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4230.1805562704349</v>
      </c>
      <c r="C10" s="1017">
        <f>SUM(C4:C9)</f>
        <v>0</v>
      </c>
      <c r="D10" s="1017">
        <f t="shared" ref="D10:H10" si="0">SUM(D8:D9)</f>
        <v>0</v>
      </c>
      <c r="E10" s="1017">
        <f t="shared" si="0"/>
        <v>0</v>
      </c>
      <c r="F10" s="1017">
        <f t="shared" si="0"/>
        <v>0</v>
      </c>
      <c r="G10" s="1017">
        <f t="shared" si="0"/>
        <v>0</v>
      </c>
      <c r="H10" s="1017">
        <f t="shared" si="0"/>
        <v>0</v>
      </c>
      <c r="I10" s="1017">
        <f>SUM(I8:I9)</f>
        <v>0</v>
      </c>
      <c r="J10" s="1017">
        <f>SUM(J8:J9)</f>
        <v>51.35294117647058</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0.19249664573789357</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62.357142857142847</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73.361344537815114</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62.357142857142847</v>
      </c>
      <c r="C20" s="1017">
        <f>SUM(C17:C19)</f>
        <v>0</v>
      </c>
      <c r="D20" s="1017">
        <f t="shared" ref="D20:H20" si="2">SUM(D17:D19)</f>
        <v>0</v>
      </c>
      <c r="E20" s="1017">
        <f t="shared" si="2"/>
        <v>0</v>
      </c>
      <c r="F20" s="1017">
        <f t="shared" si="2"/>
        <v>0</v>
      </c>
      <c r="G20" s="1017">
        <f t="shared" si="2"/>
        <v>0</v>
      </c>
      <c r="H20" s="1017">
        <f t="shared" si="2"/>
        <v>0</v>
      </c>
      <c r="I20" s="1017">
        <f>SUM(I17:I19)</f>
        <v>0</v>
      </c>
      <c r="J20" s="1017">
        <f>SUM(J17:J19)</f>
        <v>73.361344537815114</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0.19249664573789357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0.19249664573789357</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0.19249664573789357</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4009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1646.64</v>
      </c>
      <c r="C14" s="326"/>
      <c r="D14" s="326"/>
      <c r="E14" s="326"/>
      <c r="F14" s="326"/>
    </row>
    <row r="15" spans="1:6">
      <c r="A15" s="1307" t="s">
        <v>183</v>
      </c>
      <c r="B15" s="1308">
        <v>16</v>
      </c>
      <c r="C15" s="326"/>
      <c r="D15" s="326"/>
      <c r="E15" s="326"/>
      <c r="F15" s="326"/>
    </row>
    <row r="16" spans="1:6">
      <c r="A16" s="1307" t="s">
        <v>6</v>
      </c>
      <c r="B16" s="1308">
        <v>452</v>
      </c>
      <c r="C16" s="326"/>
      <c r="D16" s="326"/>
      <c r="E16" s="326"/>
      <c r="F16" s="326"/>
    </row>
    <row r="17" spans="1:6">
      <c r="A17" s="1307" t="s">
        <v>7</v>
      </c>
      <c r="B17" s="1308">
        <v>790</v>
      </c>
      <c r="C17" s="326"/>
      <c r="D17" s="326"/>
      <c r="E17" s="326"/>
      <c r="F17" s="326"/>
    </row>
    <row r="18" spans="1:6">
      <c r="A18" s="1307" t="s">
        <v>8</v>
      </c>
      <c r="B18" s="1308">
        <v>904</v>
      </c>
      <c r="C18" s="326"/>
      <c r="D18" s="326"/>
      <c r="E18" s="326"/>
      <c r="F18" s="326"/>
    </row>
    <row r="19" spans="1:6">
      <c r="A19" s="1307" t="s">
        <v>9</v>
      </c>
      <c r="B19" s="1308">
        <v>752</v>
      </c>
      <c r="C19" s="326"/>
      <c r="D19" s="326"/>
      <c r="E19" s="326"/>
      <c r="F19" s="326"/>
    </row>
    <row r="20" spans="1:6">
      <c r="A20" s="1307" t="s">
        <v>10</v>
      </c>
      <c r="B20" s="1308">
        <v>822</v>
      </c>
      <c r="C20" s="326"/>
      <c r="D20" s="326"/>
      <c r="E20" s="326"/>
      <c r="F20" s="326"/>
    </row>
    <row r="21" spans="1:6">
      <c r="A21" s="1307" t="s">
        <v>11</v>
      </c>
      <c r="B21" s="1308">
        <v>6007</v>
      </c>
      <c r="C21" s="326"/>
      <c r="D21" s="326"/>
      <c r="E21" s="326"/>
      <c r="F21" s="326"/>
    </row>
    <row r="22" spans="1:6">
      <c r="A22" s="1307" t="s">
        <v>12</v>
      </c>
      <c r="B22" s="1308">
        <v>25125</v>
      </c>
      <c r="C22" s="326"/>
      <c r="D22" s="326"/>
      <c r="E22" s="326"/>
      <c r="F22" s="326"/>
    </row>
    <row r="23" spans="1:6">
      <c r="A23" s="1307" t="s">
        <v>13</v>
      </c>
      <c r="B23" s="1308">
        <v>202</v>
      </c>
      <c r="C23" s="326"/>
      <c r="D23" s="326"/>
      <c r="E23" s="326"/>
      <c r="F23" s="326"/>
    </row>
    <row r="24" spans="1:6">
      <c r="A24" s="1307" t="s">
        <v>14</v>
      </c>
      <c r="B24" s="1308">
        <v>8</v>
      </c>
      <c r="C24" s="326"/>
      <c r="D24" s="326"/>
      <c r="E24" s="326"/>
      <c r="F24" s="326"/>
    </row>
    <row r="25" spans="1:6">
      <c r="A25" s="1307" t="s">
        <v>15</v>
      </c>
      <c r="B25" s="1308">
        <v>1485</v>
      </c>
      <c r="C25" s="326"/>
      <c r="D25" s="326"/>
      <c r="E25" s="326"/>
      <c r="F25" s="326"/>
    </row>
    <row r="26" spans="1:6">
      <c r="A26" s="1307" t="s">
        <v>16</v>
      </c>
      <c r="B26" s="1308">
        <v>225</v>
      </c>
      <c r="C26" s="326"/>
      <c r="D26" s="326"/>
      <c r="E26" s="326"/>
      <c r="F26" s="326"/>
    </row>
    <row r="27" spans="1:6">
      <c r="A27" s="1307" t="s">
        <v>17</v>
      </c>
      <c r="B27" s="1308">
        <v>6</v>
      </c>
      <c r="C27" s="326"/>
      <c r="D27" s="326"/>
      <c r="E27" s="326"/>
      <c r="F27" s="326"/>
    </row>
    <row r="28" spans="1:6" s="43" customFormat="1">
      <c r="A28" s="1309" t="s">
        <v>18</v>
      </c>
      <c r="B28" s="1310">
        <v>57086</v>
      </c>
      <c r="C28" s="332"/>
      <c r="D28" s="332"/>
      <c r="E28" s="332"/>
      <c r="F28" s="332"/>
    </row>
    <row r="29" spans="1:6">
      <c r="A29" s="1309" t="s">
        <v>688</v>
      </c>
      <c r="B29" s="1310">
        <v>83</v>
      </c>
      <c r="C29" s="332"/>
      <c r="D29" s="332"/>
      <c r="E29" s="332"/>
      <c r="F29" s="332"/>
    </row>
    <row r="30" spans="1:6">
      <c r="A30" s="1302" t="s">
        <v>689</v>
      </c>
      <c r="B30" s="1311">
        <v>15</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0</v>
      </c>
      <c r="D38" s="1308">
        <v>0</v>
      </c>
      <c r="E38" s="1308">
        <v>0</v>
      </c>
      <c r="F38" s="1308">
        <v>0</v>
      </c>
    </row>
    <row r="39" spans="1:6">
      <c r="A39" s="1307" t="s">
        <v>29</v>
      </c>
      <c r="B39" s="1307" t="s">
        <v>30</v>
      </c>
      <c r="C39" s="1308">
        <v>2807</v>
      </c>
      <c r="D39" s="1308">
        <v>40447910.408996336</v>
      </c>
      <c r="E39" s="1308">
        <v>3683</v>
      </c>
      <c r="F39" s="1308">
        <v>12390526.114</v>
      </c>
    </row>
    <row r="40" spans="1:6">
      <c r="A40" s="1307" t="s">
        <v>29</v>
      </c>
      <c r="B40" s="1307" t="s">
        <v>28</v>
      </c>
      <c r="C40" s="1308">
        <v>0</v>
      </c>
      <c r="D40" s="1308">
        <v>0</v>
      </c>
      <c r="E40" s="1308">
        <v>0</v>
      </c>
      <c r="F40" s="1308">
        <v>0</v>
      </c>
    </row>
    <row r="41" spans="1:6">
      <c r="A41" s="1307" t="s">
        <v>31</v>
      </c>
      <c r="B41" s="1307" t="s">
        <v>32</v>
      </c>
      <c r="C41" s="1308">
        <v>102</v>
      </c>
      <c r="D41" s="1308">
        <v>2194397.358</v>
      </c>
      <c r="E41" s="1308">
        <v>179</v>
      </c>
      <c r="F41" s="1308">
        <v>1782272.8829999999</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11</v>
      </c>
      <c r="D44" s="1308">
        <v>226255.40100000001</v>
      </c>
      <c r="E44" s="1308">
        <v>34</v>
      </c>
      <c r="F44" s="1308">
        <v>833956.64500000002</v>
      </c>
    </row>
    <row r="45" spans="1:6">
      <c r="A45" s="1307" t="s">
        <v>31</v>
      </c>
      <c r="B45" s="1307" t="s">
        <v>36</v>
      </c>
      <c r="C45" s="1308">
        <v>0</v>
      </c>
      <c r="D45" s="1308">
        <v>0</v>
      </c>
      <c r="E45" s="1308">
        <v>3</v>
      </c>
      <c r="F45" s="1308">
        <v>25693.198</v>
      </c>
    </row>
    <row r="46" spans="1:6">
      <c r="A46" s="1307" t="s">
        <v>31</v>
      </c>
      <c r="B46" s="1307" t="s">
        <v>37</v>
      </c>
      <c r="C46" s="1308">
        <v>0</v>
      </c>
      <c r="D46" s="1308">
        <v>0</v>
      </c>
      <c r="E46" s="1308">
        <v>0</v>
      </c>
      <c r="F46" s="1308">
        <v>0</v>
      </c>
    </row>
    <row r="47" spans="1:6">
      <c r="A47" s="1307" t="s">
        <v>31</v>
      </c>
      <c r="B47" s="1307" t="s">
        <v>38</v>
      </c>
      <c r="C47" s="1308">
        <v>4</v>
      </c>
      <c r="D47" s="1308">
        <v>120776.118</v>
      </c>
      <c r="E47" s="1308">
        <v>4</v>
      </c>
      <c r="F47" s="1308">
        <v>43619.540999999997</v>
      </c>
    </row>
    <row r="48" spans="1:6">
      <c r="A48" s="1307" t="s">
        <v>31</v>
      </c>
      <c r="B48" s="1307" t="s">
        <v>28</v>
      </c>
      <c r="C48" s="1308">
        <v>2</v>
      </c>
      <c r="D48" s="1308">
        <v>25895.97</v>
      </c>
      <c r="E48" s="1308">
        <v>2</v>
      </c>
      <c r="F48" s="1308">
        <v>7595.2020000000002</v>
      </c>
    </row>
    <row r="49" spans="1:6">
      <c r="A49" s="1307" t="s">
        <v>31</v>
      </c>
      <c r="B49" s="1307" t="s">
        <v>39</v>
      </c>
      <c r="C49" s="1308">
        <v>4</v>
      </c>
      <c r="D49" s="1308">
        <v>84143.616999999998</v>
      </c>
      <c r="E49" s="1308">
        <v>9</v>
      </c>
      <c r="F49" s="1308">
        <v>940132.97699999996</v>
      </c>
    </row>
    <row r="50" spans="1:6">
      <c r="A50" s="1307" t="s">
        <v>31</v>
      </c>
      <c r="B50" s="1307" t="s">
        <v>40</v>
      </c>
      <c r="C50" s="1308">
        <v>13</v>
      </c>
      <c r="D50" s="1308">
        <v>838238.28799999994</v>
      </c>
      <c r="E50" s="1308">
        <v>24</v>
      </c>
      <c r="F50" s="1308">
        <v>3260141.5830000001</v>
      </c>
    </row>
    <row r="51" spans="1:6">
      <c r="A51" s="1307" t="s">
        <v>41</v>
      </c>
      <c r="B51" s="1307" t="s">
        <v>42</v>
      </c>
      <c r="C51" s="1308">
        <v>14</v>
      </c>
      <c r="D51" s="1308">
        <v>495305.15899999999</v>
      </c>
      <c r="E51" s="1308">
        <v>104</v>
      </c>
      <c r="F51" s="1308">
        <v>1832944.9790000001</v>
      </c>
    </row>
    <row r="52" spans="1:6">
      <c r="A52" s="1307" t="s">
        <v>41</v>
      </c>
      <c r="B52" s="1307" t="s">
        <v>28</v>
      </c>
      <c r="C52" s="1308">
        <v>0</v>
      </c>
      <c r="D52" s="1308">
        <v>0</v>
      </c>
      <c r="E52" s="1308">
        <v>1</v>
      </c>
      <c r="F52" s="1308">
        <v>4165.4731508402001</v>
      </c>
    </row>
    <row r="53" spans="1:6">
      <c r="A53" s="1307" t="s">
        <v>43</v>
      </c>
      <c r="B53" s="1307" t="s">
        <v>44</v>
      </c>
      <c r="C53" s="1308">
        <v>40</v>
      </c>
      <c r="D53" s="1308">
        <v>1071319.284</v>
      </c>
      <c r="E53" s="1308">
        <v>71</v>
      </c>
      <c r="F53" s="1308">
        <v>312266.03700000001</v>
      </c>
    </row>
    <row r="54" spans="1:6">
      <c r="A54" s="1307" t="s">
        <v>45</v>
      </c>
      <c r="B54" s="1307" t="s">
        <v>46</v>
      </c>
      <c r="C54" s="1308">
        <v>0</v>
      </c>
      <c r="D54" s="1308">
        <v>0</v>
      </c>
      <c r="E54" s="1308">
        <v>1</v>
      </c>
      <c r="F54" s="1308">
        <v>684752.86800000002</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41</v>
      </c>
      <c r="D57" s="1308">
        <v>1045630.322</v>
      </c>
      <c r="E57" s="1308">
        <v>68</v>
      </c>
      <c r="F57" s="1308">
        <v>552190.51800000004</v>
      </c>
    </row>
    <row r="58" spans="1:6">
      <c r="A58" s="1307" t="s">
        <v>48</v>
      </c>
      <c r="B58" s="1307" t="s">
        <v>50</v>
      </c>
      <c r="C58" s="1308">
        <v>26</v>
      </c>
      <c r="D58" s="1308">
        <v>1940818.6610000001</v>
      </c>
      <c r="E58" s="1308">
        <v>28</v>
      </c>
      <c r="F58" s="1308">
        <v>868832.93700000003</v>
      </c>
    </row>
    <row r="59" spans="1:6">
      <c r="A59" s="1307" t="s">
        <v>48</v>
      </c>
      <c r="B59" s="1307" t="s">
        <v>51</v>
      </c>
      <c r="C59" s="1308">
        <v>77</v>
      </c>
      <c r="D59" s="1308">
        <v>2037631.257</v>
      </c>
      <c r="E59" s="1308">
        <v>186</v>
      </c>
      <c r="F59" s="1308">
        <v>2883222.9130000002</v>
      </c>
    </row>
    <row r="60" spans="1:6">
      <c r="A60" s="1307" t="s">
        <v>48</v>
      </c>
      <c r="B60" s="1307" t="s">
        <v>52</v>
      </c>
      <c r="C60" s="1308">
        <v>29</v>
      </c>
      <c r="D60" s="1308">
        <v>909658.61</v>
      </c>
      <c r="E60" s="1308">
        <v>42</v>
      </c>
      <c r="F60" s="1308">
        <v>753337.16399999999</v>
      </c>
    </row>
    <row r="61" spans="1:6">
      <c r="A61" s="1307" t="s">
        <v>48</v>
      </c>
      <c r="B61" s="1307" t="s">
        <v>53</v>
      </c>
      <c r="C61" s="1308">
        <v>107</v>
      </c>
      <c r="D61" s="1308">
        <v>3056068.9840000002</v>
      </c>
      <c r="E61" s="1308">
        <v>173</v>
      </c>
      <c r="F61" s="1308">
        <v>1816454.6229999999</v>
      </c>
    </row>
    <row r="62" spans="1:6">
      <c r="A62" s="1307" t="s">
        <v>48</v>
      </c>
      <c r="B62" s="1307" t="s">
        <v>54</v>
      </c>
      <c r="C62" s="1308">
        <v>0</v>
      </c>
      <c r="D62" s="1308">
        <v>0</v>
      </c>
      <c r="E62" s="1308">
        <v>8</v>
      </c>
      <c r="F62" s="1308">
        <v>97624.404999999999</v>
      </c>
    </row>
    <row r="63" spans="1:6">
      <c r="A63" s="1307" t="s">
        <v>48</v>
      </c>
      <c r="B63" s="1307" t="s">
        <v>28</v>
      </c>
      <c r="C63" s="1308">
        <v>2</v>
      </c>
      <c r="D63" s="1308">
        <v>21633.473000000002</v>
      </c>
      <c r="E63" s="1308">
        <v>0</v>
      </c>
      <c r="F63" s="1308">
        <v>0</v>
      </c>
    </row>
    <row r="64" spans="1:6">
      <c r="A64" s="1307" t="s">
        <v>55</v>
      </c>
      <c r="B64" s="1307" t="s">
        <v>56</v>
      </c>
      <c r="C64" s="1308">
        <v>0</v>
      </c>
      <c r="D64" s="1308">
        <v>0</v>
      </c>
      <c r="E64" s="1308">
        <v>0</v>
      </c>
      <c r="F64" s="1308">
        <v>0</v>
      </c>
    </row>
    <row r="65" spans="1:6">
      <c r="A65" s="1307" t="s">
        <v>55</v>
      </c>
      <c r="B65" s="1307" t="s">
        <v>28</v>
      </c>
      <c r="C65" s="1308">
        <v>0</v>
      </c>
      <c r="D65" s="1308">
        <v>0</v>
      </c>
      <c r="E65" s="1308">
        <v>2</v>
      </c>
      <c r="F65" s="1308">
        <v>25091.838</v>
      </c>
    </row>
    <row r="66" spans="1:6">
      <c r="A66" s="1307" t="s">
        <v>55</v>
      </c>
      <c r="B66" s="1307" t="s">
        <v>57</v>
      </c>
      <c r="C66" s="1308">
        <v>0</v>
      </c>
      <c r="D66" s="1308">
        <v>0</v>
      </c>
      <c r="E66" s="1308">
        <v>0</v>
      </c>
      <c r="F66" s="1308">
        <v>0</v>
      </c>
    </row>
    <row r="67" spans="1:6">
      <c r="A67" s="1309" t="s">
        <v>55</v>
      </c>
      <c r="B67" s="1309" t="s">
        <v>58</v>
      </c>
      <c r="C67" s="1308">
        <v>0</v>
      </c>
      <c r="D67" s="1308">
        <v>0</v>
      </c>
      <c r="E67" s="1308">
        <v>31</v>
      </c>
      <c r="F67" s="1308">
        <v>357866.87</v>
      </c>
    </row>
    <row r="68" spans="1:6">
      <c r="A68" s="1302" t="s">
        <v>55</v>
      </c>
      <c r="B68" s="1302" t="s">
        <v>59</v>
      </c>
      <c r="C68" s="1311">
        <v>5</v>
      </c>
      <c r="D68" s="1311">
        <v>104824.02899999999</v>
      </c>
      <c r="E68" s="1311">
        <v>15</v>
      </c>
      <c r="F68" s="1311">
        <v>111871.024</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10405869</v>
      </c>
      <c r="E73" s="447"/>
      <c r="F73" s="326"/>
    </row>
    <row r="74" spans="1:6">
      <c r="A74" s="1307" t="s">
        <v>63</v>
      </c>
      <c r="B74" s="1307" t="s">
        <v>639</v>
      </c>
      <c r="C74" s="1321" t="s">
        <v>641</v>
      </c>
      <c r="D74" s="1322">
        <v>986594.16732691752</v>
      </c>
      <c r="E74" s="447"/>
      <c r="F74" s="326"/>
    </row>
    <row r="75" spans="1:6">
      <c r="A75" s="1307" t="s">
        <v>64</v>
      </c>
      <c r="B75" s="1307" t="s">
        <v>638</v>
      </c>
      <c r="C75" s="1321" t="s">
        <v>642</v>
      </c>
      <c r="D75" s="1322">
        <v>32793996</v>
      </c>
      <c r="E75" s="447"/>
      <c r="F75" s="326"/>
    </row>
    <row r="76" spans="1:6">
      <c r="A76" s="1307" t="s">
        <v>64</v>
      </c>
      <c r="B76" s="1307" t="s">
        <v>639</v>
      </c>
      <c r="C76" s="1321" t="s">
        <v>643</v>
      </c>
      <c r="D76" s="1322">
        <v>616068.16732691752</v>
      </c>
      <c r="E76" s="447"/>
      <c r="F76" s="326"/>
    </row>
    <row r="77" spans="1:6">
      <c r="A77" s="1307" t="s">
        <v>65</v>
      </c>
      <c r="B77" s="1307" t="s">
        <v>638</v>
      </c>
      <c r="C77" s="1321" t="s">
        <v>644</v>
      </c>
      <c r="D77" s="1322">
        <v>62143408</v>
      </c>
      <c r="E77" s="447"/>
      <c r="F77" s="326"/>
    </row>
    <row r="78" spans="1:6">
      <c r="A78" s="1302" t="s">
        <v>65</v>
      </c>
      <c r="B78" s="1302" t="s">
        <v>639</v>
      </c>
      <c r="C78" s="1302" t="s">
        <v>645</v>
      </c>
      <c r="D78" s="1323">
        <v>10920377</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169493.66534616501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3518.8664908270498</v>
      </c>
      <c r="C91" s="326"/>
      <c r="D91" s="326"/>
      <c r="E91" s="326"/>
      <c r="F91" s="326"/>
    </row>
    <row r="92" spans="1:6">
      <c r="A92" s="1302" t="s">
        <v>68</v>
      </c>
      <c r="B92" s="1303">
        <v>667.66406544338531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1850</v>
      </c>
      <c r="C97" s="326"/>
      <c r="D97" s="326"/>
      <c r="E97" s="326"/>
      <c r="F97" s="326"/>
    </row>
    <row r="98" spans="1:6">
      <c r="A98" s="1307" t="s">
        <v>71</v>
      </c>
      <c r="B98" s="1308">
        <v>0</v>
      </c>
      <c r="C98" s="326"/>
      <c r="D98" s="326"/>
      <c r="E98" s="326"/>
      <c r="F98" s="326"/>
    </row>
    <row r="99" spans="1:6">
      <c r="A99" s="1307" t="s">
        <v>72</v>
      </c>
      <c r="B99" s="1308">
        <v>49</v>
      </c>
      <c r="C99" s="326"/>
      <c r="D99" s="326"/>
      <c r="E99" s="326"/>
      <c r="F99" s="326"/>
    </row>
    <row r="100" spans="1:6">
      <c r="A100" s="1307" t="s">
        <v>73</v>
      </c>
      <c r="B100" s="1308">
        <v>252</v>
      </c>
      <c r="C100" s="326"/>
      <c r="D100" s="326"/>
      <c r="E100" s="326"/>
      <c r="F100" s="326"/>
    </row>
    <row r="101" spans="1:6">
      <c r="A101" s="1307" t="s">
        <v>74</v>
      </c>
      <c r="B101" s="1308">
        <v>78</v>
      </c>
      <c r="C101" s="326"/>
      <c r="D101" s="326"/>
      <c r="E101" s="326"/>
      <c r="F101" s="326"/>
    </row>
    <row r="102" spans="1:6">
      <c r="A102" s="1307" t="s">
        <v>75</v>
      </c>
      <c r="B102" s="1308">
        <v>61</v>
      </c>
      <c r="C102" s="326"/>
      <c r="D102" s="326"/>
      <c r="E102" s="326"/>
      <c r="F102" s="326"/>
    </row>
    <row r="103" spans="1:6">
      <c r="A103" s="1307" t="s">
        <v>76</v>
      </c>
      <c r="B103" s="1308">
        <v>117</v>
      </c>
      <c r="C103" s="326"/>
      <c r="D103" s="326"/>
      <c r="E103" s="326"/>
      <c r="F103" s="326"/>
    </row>
    <row r="104" spans="1:6">
      <c r="A104" s="1307" t="s">
        <v>77</v>
      </c>
      <c r="B104" s="1308">
        <v>1085</v>
      </c>
      <c r="C104" s="326"/>
      <c r="D104" s="326"/>
      <c r="E104" s="326"/>
      <c r="F104" s="326"/>
    </row>
    <row r="105" spans="1:6">
      <c r="A105" s="1302" t="s">
        <v>78</v>
      </c>
      <c r="B105" s="1311">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1</v>
      </c>
      <c r="C121" s="1308">
        <v>0</v>
      </c>
      <c r="D121" s="326"/>
      <c r="E121" s="326"/>
      <c r="F121" s="326"/>
    </row>
    <row r="122" spans="1:6">
      <c r="A122" s="1307" t="s">
        <v>86</v>
      </c>
      <c r="B122" s="1308">
        <v>0</v>
      </c>
      <c r="C122" s="1308">
        <v>0</v>
      </c>
      <c r="D122" s="326"/>
      <c r="E122" s="326"/>
      <c r="F122" s="326"/>
    </row>
    <row r="123" spans="1:6">
      <c r="A123" s="1307" t="s">
        <v>87</v>
      </c>
      <c r="B123" s="1308">
        <v>14</v>
      </c>
      <c r="C123" s="1308">
        <v>37</v>
      </c>
      <c r="D123" s="326"/>
      <c r="E123" s="326"/>
      <c r="F123" s="326"/>
    </row>
    <row r="124" spans="1:6" s="43" customFormat="1">
      <c r="A124" s="1309" t="s">
        <v>88</v>
      </c>
      <c r="B124" s="1330">
        <v>3</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115</v>
      </c>
      <c r="C129" s="326"/>
      <c r="D129" s="326"/>
      <c r="E129" s="326"/>
      <c r="F129" s="326"/>
    </row>
    <row r="130" spans="1:6">
      <c r="A130" s="1307" t="s">
        <v>290</v>
      </c>
      <c r="B130" s="1308">
        <v>0</v>
      </c>
      <c r="C130" s="326"/>
      <c r="D130" s="326"/>
      <c r="E130" s="326"/>
      <c r="F130" s="326"/>
    </row>
    <row r="131" spans="1:6">
      <c r="A131" s="1307" t="s">
        <v>291</v>
      </c>
      <c r="B131" s="1308">
        <v>1</v>
      </c>
      <c r="C131" s="326"/>
      <c r="D131" s="326"/>
      <c r="E131" s="326"/>
      <c r="F131" s="326"/>
    </row>
    <row r="132" spans="1:6">
      <c r="A132" s="1302" t="s">
        <v>292</v>
      </c>
      <c r="B132" s="1303">
        <v>16</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32798.592556477553</v>
      </c>
      <c r="C3" s="43" t="s">
        <v>169</v>
      </c>
      <c r="D3" s="43"/>
      <c r="E3" s="154"/>
      <c r="F3" s="43"/>
      <c r="G3" s="43"/>
      <c r="H3" s="43"/>
      <c r="I3" s="43"/>
      <c r="J3" s="43"/>
      <c r="K3" s="96"/>
    </row>
    <row r="4" spans="1:11">
      <c r="A4" s="354" t="s">
        <v>170</v>
      </c>
      <c r="B4" s="49">
        <f>IF(ISERROR('SEAP template'!B78+'SEAP template'!C78),0,'SEAP template'!B78+'SEAP template'!C78)</f>
        <v>4230.1805562704349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0.19249664573789357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684.75286800000003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684.75286800000003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0.19249664573789357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131.81263024940262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12390.526114</v>
      </c>
      <c r="C5" s="17">
        <f>IF(ISERROR('Eigen informatie GS &amp; warmtenet'!B59),0,'Eigen informatie GS &amp; warmtenet'!B59)</f>
        <v>0</v>
      </c>
      <c r="D5" s="30">
        <f>(SUM(HH_hh_gas_kWh,HH_rest_gas_kWh)/1000)*0.903</f>
        <v>36524.463099323693</v>
      </c>
      <c r="E5" s="17">
        <f>B32*B41</f>
        <v>813.1322699638431</v>
      </c>
      <c r="F5" s="17">
        <f>B36*B45</f>
        <v>18469.389296502337</v>
      </c>
      <c r="G5" s="18"/>
      <c r="H5" s="17"/>
      <c r="I5" s="17"/>
      <c r="J5" s="17">
        <f>B35*B44+C35*C44</f>
        <v>92.399238506650804</v>
      </c>
      <c r="K5" s="17"/>
      <c r="L5" s="17"/>
      <c r="M5" s="17"/>
      <c r="N5" s="17">
        <f>B34*B43+C34*C43</f>
        <v>5344.8800732415621</v>
      </c>
      <c r="O5" s="17">
        <f>B52*B53*B54</f>
        <v>305.52956578560287</v>
      </c>
      <c r="P5" s="17">
        <f>B60*B61*B62/1000-B60*B61*B62/1000/B63</f>
        <v>347.62065715360575</v>
      </c>
    </row>
    <row r="6" spans="1:16">
      <c r="A6" s="16" t="s">
        <v>604</v>
      </c>
      <c r="B6" s="779">
        <f>kWh_PV_kleiner_dan_10kW</f>
        <v>3518.8664908270498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15909.39260482705</v>
      </c>
      <c r="C8" s="21">
        <f>C5</f>
        <v>0</v>
      </c>
      <c r="D8" s="21">
        <f>D5</f>
        <v>36524.463099323693</v>
      </c>
      <c r="E8" s="21">
        <f>E5</f>
        <v>813.1322699638431</v>
      </c>
      <c r="F8" s="21">
        <f>F5</f>
        <v>18469.389296502337</v>
      </c>
      <c r="G8" s="21"/>
      <c r="H8" s="21"/>
      <c r="I8" s="21"/>
      <c r="J8" s="21">
        <f>J5</f>
        <v>92.399238506650804</v>
      </c>
      <c r="K8" s="21"/>
      <c r="L8" s="21">
        <f>L5</f>
        <v>0</v>
      </c>
      <c r="M8" s="21">
        <f>M5</f>
        <v>0</v>
      </c>
      <c r="N8" s="21">
        <f>N5</f>
        <v>5344.8800732415621</v>
      </c>
      <c r="O8" s="21">
        <f>O5</f>
        <v>305.52956578560287</v>
      </c>
      <c r="P8" s="21">
        <f>P5</f>
        <v>347.62065715360575</v>
      </c>
    </row>
    <row r="9" spans="1:16">
      <c r="B9" s="19"/>
      <c r="C9" s="19"/>
      <c r="D9" s="254"/>
      <c r="E9" s="19"/>
      <c r="F9" s="19"/>
      <c r="G9" s="19"/>
      <c r="H9" s="19"/>
      <c r="I9" s="19"/>
      <c r="J9" s="19"/>
      <c r="K9" s="19"/>
      <c r="L9" s="19"/>
      <c r="M9" s="19"/>
      <c r="N9" s="19"/>
      <c r="O9" s="19"/>
      <c r="P9" s="19"/>
    </row>
    <row r="10" spans="1:16">
      <c r="A10" s="24" t="s">
        <v>213</v>
      </c>
      <c r="B10" s="25">
        <f ca="1">'EF ele_warmte'!B12</f>
        <v>0.19249664573789357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3062.5047121564562</v>
      </c>
      <c r="C12" s="23">
        <f ca="1">C10*C8</f>
        <v>0</v>
      </c>
      <c r="D12" s="23">
        <f>D8*D10</f>
        <v>7377.9415460633863</v>
      </c>
      <c r="E12" s="23">
        <f>E10*E8</f>
        <v>184.58102528179239</v>
      </c>
      <c r="F12" s="23">
        <f>F10*F8</f>
        <v>4931.3269421661244</v>
      </c>
      <c r="G12" s="23"/>
      <c r="H12" s="23"/>
      <c r="I12" s="23"/>
      <c r="J12" s="23">
        <f>J10*J8</f>
        <v>32.709330431354381</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4009</v>
      </c>
      <c r="C26" s="36"/>
      <c r="D26" s="225"/>
    </row>
    <row r="27" spans="1:5" s="15" customFormat="1">
      <c r="A27" s="227" t="s">
        <v>817</v>
      </c>
      <c r="B27" s="37">
        <f>SUM(HH_hh_gas_aantal,HH_rest_gas_aantal)</f>
        <v>2807</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2666.65</v>
      </c>
      <c r="C31" s="34" t="s">
        <v>110</v>
      </c>
      <c r="D31" s="171"/>
    </row>
    <row r="32" spans="1:5">
      <c r="A32" s="168" t="s">
        <v>72</v>
      </c>
      <c r="B32" s="33">
        <f>IF((B21*($B$26-($B$27-0.05*$B$27)-$B$60))&lt;0,0,B21*($B$26-($B$27-0.05*$B$27)-$B$60))</f>
        <v>20.152675928203706</v>
      </c>
      <c r="C32" s="34" t="s">
        <v>110</v>
      </c>
      <c r="D32" s="171"/>
    </row>
    <row r="33" spans="1:6">
      <c r="A33" s="168" t="s">
        <v>73</v>
      </c>
      <c r="B33" s="33">
        <f>IF((B22*($B$26-($B$27-0.05*$B$27)-$B$60))&lt;0,0,B22*($B$26-($B$27-0.05*$B$27)-$B$60))</f>
        <v>327.23954426127381</v>
      </c>
      <c r="C33" s="34" t="s">
        <v>110</v>
      </c>
      <c r="D33" s="171"/>
    </row>
    <row r="34" spans="1:6">
      <c r="A34" s="168" t="s">
        <v>74</v>
      </c>
      <c r="B34" s="33">
        <f>IF((B24*($B$26-($B$27-0.05*$B$27)-$B$60))&lt;0,0,B24*($B$26-($B$27-0.05*$B$27)-$B$60))</f>
        <v>62.682134765671073</v>
      </c>
      <c r="C34" s="33">
        <f>B26*C24</f>
        <v>820.93856562807525</v>
      </c>
      <c r="D34" s="230"/>
    </row>
    <row r="35" spans="1:6">
      <c r="A35" s="168" t="s">
        <v>76</v>
      </c>
      <c r="B35" s="33">
        <f>IF((B19*($B$26-($B$27-0.05*$B$27)-$B$60))&lt;0,0,B19*($B$26-($B$27-0.05*$B$27)-$B$60))</f>
        <v>8.7603201806956719</v>
      </c>
      <c r="C35" s="33">
        <f>B35/2</f>
        <v>4.3801600903478359</v>
      </c>
      <c r="D35" s="230"/>
    </row>
    <row r="36" spans="1:6">
      <c r="A36" s="168" t="s">
        <v>77</v>
      </c>
      <c r="B36" s="33">
        <f>IF((B18*($B$26-($B$27-0.05*$B$27)-$B$60))&lt;0,0,B18*($B$26-($B$27-0.05*$B$27)-$B$60))</f>
        <v>890.51532486415522</v>
      </c>
      <c r="C36" s="34" t="s">
        <v>110</v>
      </c>
      <c r="D36" s="171"/>
    </row>
    <row r="37" spans="1:6">
      <c r="A37" s="168" t="s">
        <v>78</v>
      </c>
      <c r="B37" s="33">
        <f>B60</f>
        <v>33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154</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33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6971.6625599999998</v>
      </c>
      <c r="C5" s="17">
        <f>IF(ISERROR('Eigen informatie GS &amp; warmtenet'!B60),0,'Eigen informatie GS &amp; warmtenet'!B60)</f>
        <v>0</v>
      </c>
      <c r="D5" s="30">
        <f>SUM(D6:D12)</f>
        <v>8137.3315002209993</v>
      </c>
      <c r="E5" s="17">
        <f>SUM(E6:E12)</f>
        <v>18.476719114607342</v>
      </c>
      <c r="F5" s="17">
        <f>SUM(F6:F12)</f>
        <v>944.48806376078835</v>
      </c>
      <c r="G5" s="18"/>
      <c r="H5" s="17"/>
      <c r="I5" s="17"/>
      <c r="J5" s="17">
        <f>SUM(J6:J12)</f>
        <v>5.453334220619499E-3</v>
      </c>
      <c r="K5" s="17"/>
      <c r="L5" s="17"/>
      <c r="M5" s="17"/>
      <c r="N5" s="17">
        <f>SUM(N6:N12)</f>
        <v>205.96033984886628</v>
      </c>
      <c r="O5" s="17">
        <f>B38*B39*B40</f>
        <v>0</v>
      </c>
      <c r="P5" s="17">
        <f>B46*B47*B48/1000-B46*B47*B48/1000/B49</f>
        <v>105.07827661299004</v>
      </c>
      <c r="R5" s="32"/>
    </row>
    <row r="6" spans="1:18">
      <c r="A6" s="32" t="s">
        <v>53</v>
      </c>
      <c r="B6" s="37">
        <f>B26</f>
        <v>1816.4546229999999</v>
      </c>
      <c r="C6" s="33"/>
      <c r="D6" s="37">
        <f>IF(ISERROR(TER_kantoor_gas_kWh/1000),0,TER_kantoor_gas_kWh/1000)*0.903</f>
        <v>2759.6302925519999</v>
      </c>
      <c r="E6" s="33">
        <f>$C$26*'E Balans VL '!I12/100/3.6*1000000</f>
        <v>0.43517935123641427</v>
      </c>
      <c r="F6" s="33">
        <f>$C$26*('E Balans VL '!L12+'E Balans VL '!N12)/100/3.6*1000000</f>
        <v>172.25225841614085</v>
      </c>
      <c r="G6" s="34"/>
      <c r="H6" s="33"/>
      <c r="I6" s="33"/>
      <c r="J6" s="33">
        <f>$C$26*('E Balans VL '!D12+'E Balans VL '!E12)/100/3.6*1000000</f>
        <v>0</v>
      </c>
      <c r="K6" s="33"/>
      <c r="L6" s="33"/>
      <c r="M6" s="33"/>
      <c r="N6" s="33">
        <f>$C$26*'E Balans VL '!Y12/100/3.6*1000000</f>
        <v>0.92266499473759911</v>
      </c>
      <c r="O6" s="33"/>
      <c r="P6" s="33"/>
      <c r="R6" s="32"/>
    </row>
    <row r="7" spans="1:18">
      <c r="A7" s="32" t="s">
        <v>52</v>
      </c>
      <c r="B7" s="37">
        <f t="shared" ref="B7:B12" si="0">B27</f>
        <v>753.33716400000003</v>
      </c>
      <c r="C7" s="33"/>
      <c r="D7" s="37">
        <f>IF(ISERROR(TER_horeca_gas_kWh/1000),0,TER_horeca_gas_kWh/1000)*0.903</f>
        <v>821.42172483000002</v>
      </c>
      <c r="E7" s="33">
        <f>$C$27*'E Balans VL '!I9/100/3.6*1000000</f>
        <v>0</v>
      </c>
      <c r="F7" s="33">
        <f>$C$27*('E Balans VL '!L9+'E Balans VL '!N9)/100/3.6*1000000</f>
        <v>61.771876586390526</v>
      </c>
      <c r="G7" s="34"/>
      <c r="H7" s="33"/>
      <c r="I7" s="33"/>
      <c r="J7" s="33">
        <f>$C$27*('E Balans VL '!D9+'E Balans VL '!E9)/100/3.6*1000000</f>
        <v>0</v>
      </c>
      <c r="K7" s="33"/>
      <c r="L7" s="33"/>
      <c r="M7" s="33"/>
      <c r="N7" s="33">
        <f>$C$27*'E Balans VL '!Y9/100/3.6*1000000</f>
        <v>0.23092810763366875</v>
      </c>
      <c r="O7" s="33"/>
      <c r="P7" s="33"/>
      <c r="R7" s="32"/>
    </row>
    <row r="8" spans="1:18">
      <c r="A8" s="6" t="s">
        <v>51</v>
      </c>
      <c r="B8" s="37">
        <f t="shared" si="0"/>
        <v>2883.2229130000001</v>
      </c>
      <c r="C8" s="33"/>
      <c r="D8" s="37">
        <f>IF(ISERROR(TER_handel_gas_kWh/1000),0,TER_handel_gas_kWh/1000)*0.903</f>
        <v>1839.981025071</v>
      </c>
      <c r="E8" s="33">
        <f>$C$28*'E Balans VL '!I13/100/3.6*1000000</f>
        <v>10.132952704767149</v>
      </c>
      <c r="F8" s="33">
        <f>$C$28*('E Balans VL '!L13+'E Balans VL '!N13)/100/3.6*1000000</f>
        <v>263.80971875437217</v>
      </c>
      <c r="G8" s="34"/>
      <c r="H8" s="33"/>
      <c r="I8" s="33"/>
      <c r="J8" s="33">
        <f>$C$28*('E Balans VL '!D13+'E Balans VL '!E13)/100/3.6*1000000</f>
        <v>0</v>
      </c>
      <c r="K8" s="33"/>
      <c r="L8" s="33"/>
      <c r="M8" s="33"/>
      <c r="N8" s="33">
        <f>$C$28*'E Balans VL '!Y13/100/3.6*1000000</f>
        <v>1.044179211696773</v>
      </c>
      <c r="O8" s="33"/>
      <c r="P8" s="33"/>
      <c r="R8" s="32"/>
    </row>
    <row r="9" spans="1:18">
      <c r="A9" s="32" t="s">
        <v>50</v>
      </c>
      <c r="B9" s="37">
        <f t="shared" si="0"/>
        <v>868.83293700000002</v>
      </c>
      <c r="C9" s="33"/>
      <c r="D9" s="37">
        <f>IF(ISERROR(TER_gezond_gas_kWh/1000),0,TER_gezond_gas_kWh/1000)*0.903</f>
        <v>1752.559250883</v>
      </c>
      <c r="E9" s="33">
        <f>$C$29*'E Balans VL '!I10/100/3.6*1000000</f>
        <v>0</v>
      </c>
      <c r="F9" s="33">
        <f>$C$29*('E Balans VL '!L10+'E Balans VL '!N10)/100/3.6*1000000</f>
        <v>106.50296374191414</v>
      </c>
      <c r="G9" s="34"/>
      <c r="H9" s="33"/>
      <c r="I9" s="33"/>
      <c r="J9" s="33">
        <f>$C$29*('E Balans VL '!D10+'E Balans VL '!E10)/100/3.6*1000000</f>
        <v>0</v>
      </c>
      <c r="K9" s="33"/>
      <c r="L9" s="33"/>
      <c r="M9" s="33"/>
      <c r="N9" s="33">
        <f>$C$29*'E Balans VL '!Y10/100/3.6*1000000</f>
        <v>6.407037459941761</v>
      </c>
      <c r="O9" s="33"/>
      <c r="P9" s="33"/>
      <c r="R9" s="32"/>
    </row>
    <row r="10" spans="1:18">
      <c r="A10" s="32" t="s">
        <v>49</v>
      </c>
      <c r="B10" s="37">
        <f t="shared" si="0"/>
        <v>552.190518</v>
      </c>
      <c r="C10" s="33"/>
      <c r="D10" s="37">
        <f>IF(ISERROR(TER_ander_gas_kWh/1000),0,TER_ander_gas_kWh/1000)*0.903</f>
        <v>944.20418076600004</v>
      </c>
      <c r="E10" s="33">
        <f>$C$30*'E Balans VL '!I14/100/3.6*1000000</f>
        <v>7.9085870586037803</v>
      </c>
      <c r="F10" s="33">
        <f>$C$30*('E Balans VL '!L14+'E Balans VL '!N14)/100/3.6*1000000</f>
        <v>328.73779076575772</v>
      </c>
      <c r="G10" s="34"/>
      <c r="H10" s="33"/>
      <c r="I10" s="33"/>
      <c r="J10" s="33">
        <f>$C$30*('E Balans VL '!D14+'E Balans VL '!E14)/100/3.6*1000000</f>
        <v>5.453334220619499E-3</v>
      </c>
      <c r="K10" s="33"/>
      <c r="L10" s="33"/>
      <c r="M10" s="33"/>
      <c r="N10" s="33">
        <f>$C$30*'E Balans VL '!Y14/100/3.6*1000000</f>
        <v>197.08063096070575</v>
      </c>
      <c r="O10" s="33"/>
      <c r="P10" s="33"/>
      <c r="R10" s="32"/>
    </row>
    <row r="11" spans="1:18">
      <c r="A11" s="32" t="s">
        <v>54</v>
      </c>
      <c r="B11" s="37">
        <f t="shared" si="0"/>
        <v>97.624404999999996</v>
      </c>
      <c r="C11" s="33"/>
      <c r="D11" s="37">
        <f>IF(ISERROR(TER_onderwijs_gas_kWh/1000),0,TER_onderwijs_gas_kWh/1000)*0.903</f>
        <v>0</v>
      </c>
      <c r="E11" s="33">
        <f>$C$31*'E Balans VL '!I11/100/3.6*1000000</f>
        <v>0</v>
      </c>
      <c r="F11" s="33">
        <f>$C$31*('E Balans VL '!L11+'E Balans VL '!N11)/100/3.6*1000000</f>
        <v>11.413455496212958</v>
      </c>
      <c r="G11" s="34"/>
      <c r="H11" s="33"/>
      <c r="I11" s="33"/>
      <c r="J11" s="33">
        <f>$C$31*('E Balans VL '!D11+'E Balans VL '!E11)/100/3.6*1000000</f>
        <v>0</v>
      </c>
      <c r="K11" s="33"/>
      <c r="L11" s="33"/>
      <c r="M11" s="33"/>
      <c r="N11" s="33">
        <f>$C$31*'E Balans VL '!Y11/100/3.6*1000000</f>
        <v>0.27489911415073665</v>
      </c>
      <c r="O11" s="33"/>
      <c r="P11" s="33"/>
      <c r="R11" s="32"/>
    </row>
    <row r="12" spans="1:18">
      <c r="A12" s="32" t="s">
        <v>255</v>
      </c>
      <c r="B12" s="37">
        <f t="shared" si="0"/>
        <v>0</v>
      </c>
      <c r="C12" s="33"/>
      <c r="D12" s="37">
        <f>IF(ISERROR(TER_rest_gas_kWh/1000),0,TER_rest_gas_kWh/1000)*0.903</f>
        <v>19.535026119000001</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6971.6625599999998</v>
      </c>
      <c r="C16" s="21">
        <f t="shared" ca="1" si="1"/>
        <v>0</v>
      </c>
      <c r="D16" s="21">
        <f t="shared" ca="1" si="1"/>
        <v>8137.3315002209993</v>
      </c>
      <c r="E16" s="21">
        <f t="shared" si="1"/>
        <v>18.476719114607342</v>
      </c>
      <c r="F16" s="21">
        <f t="shared" ca="1" si="1"/>
        <v>944.48806376078835</v>
      </c>
      <c r="G16" s="21">
        <f t="shared" si="1"/>
        <v>0</v>
      </c>
      <c r="H16" s="21">
        <f t="shared" si="1"/>
        <v>0</v>
      </c>
      <c r="I16" s="21">
        <f t="shared" si="1"/>
        <v>0</v>
      </c>
      <c r="J16" s="21">
        <f t="shared" si="1"/>
        <v>5.453334220619499E-3</v>
      </c>
      <c r="K16" s="21">
        <f t="shared" si="1"/>
        <v>0</v>
      </c>
      <c r="L16" s="21">
        <f t="shared" ca="1" si="1"/>
        <v>0</v>
      </c>
      <c r="M16" s="21">
        <f t="shared" si="1"/>
        <v>0</v>
      </c>
      <c r="N16" s="21">
        <f t="shared" ca="1" si="1"/>
        <v>205.96033984886628</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0.19249664573789357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1342.0216580164561</v>
      </c>
      <c r="C20" s="23">
        <f t="shared" ref="C20:P20" ca="1" si="2">C16*C18</f>
        <v>0</v>
      </c>
      <c r="D20" s="23">
        <f t="shared" ca="1" si="2"/>
        <v>1643.7409630446421</v>
      </c>
      <c r="E20" s="23">
        <f t="shared" si="2"/>
        <v>4.1942152390158665</v>
      </c>
      <c r="F20" s="23">
        <f t="shared" ca="1" si="2"/>
        <v>252.17831302413052</v>
      </c>
      <c r="G20" s="23">
        <f t="shared" si="2"/>
        <v>0</v>
      </c>
      <c r="H20" s="23">
        <f t="shared" si="2"/>
        <v>0</v>
      </c>
      <c r="I20" s="23">
        <f t="shared" si="2"/>
        <v>0</v>
      </c>
      <c r="J20" s="23">
        <f t="shared" si="2"/>
        <v>1.9304803140993026E-3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1816.4546229999999</v>
      </c>
      <c r="C26" s="39">
        <f>IF(ISERROR(B26*3.6/1000000/'E Balans VL '!Z12*100),0,B26*3.6/1000000/'E Balans VL '!Z12*100)</f>
        <v>5.122883058398376E-2</v>
      </c>
      <c r="D26" s="233" t="s">
        <v>691</v>
      </c>
      <c r="F26" s="6"/>
    </row>
    <row r="27" spans="1:18">
      <c r="A27" s="228" t="s">
        <v>52</v>
      </c>
      <c r="B27" s="33">
        <f>IF(ISERROR(TER_horeca_ele_kWh/1000),0,TER_horeca_ele_kWh/1000)</f>
        <v>753.33716400000003</v>
      </c>
      <c r="C27" s="39">
        <f>IF(ISERROR(B27*3.6/1000000/'E Balans VL '!Z9*100),0,B27*3.6/1000000/'E Balans VL '!Z9*100)</f>
        <v>5.5850696206694667E-2</v>
      </c>
      <c r="D27" s="233" t="s">
        <v>691</v>
      </c>
      <c r="F27" s="6"/>
    </row>
    <row r="28" spans="1:18">
      <c r="A28" s="168" t="s">
        <v>51</v>
      </c>
      <c r="B28" s="33">
        <f>IF(ISERROR(TER_handel_ele_kWh/1000),0,TER_handel_ele_kWh/1000)</f>
        <v>2883.2229130000001</v>
      </c>
      <c r="C28" s="39">
        <f>IF(ISERROR(B28*3.6/1000000/'E Balans VL '!Z13*100),0,B28*3.6/1000000/'E Balans VL '!Z13*100)</f>
        <v>8.6374503355063012E-2</v>
      </c>
      <c r="D28" s="233" t="s">
        <v>691</v>
      </c>
      <c r="F28" s="6"/>
    </row>
    <row r="29" spans="1:18">
      <c r="A29" s="228" t="s">
        <v>50</v>
      </c>
      <c r="B29" s="33">
        <f>IF(ISERROR(TER_gezond_ele_kWh/1000),0,TER_gezond_ele_kWh/1000)</f>
        <v>868.83293700000002</v>
      </c>
      <c r="C29" s="39">
        <f>IF(ISERROR(B29*3.6/1000000/'E Balans VL '!Z10*100),0,B29*3.6/1000000/'E Balans VL '!Z10*100)</f>
        <v>8.5910541347989228E-2</v>
      </c>
      <c r="D29" s="233" t="s">
        <v>691</v>
      </c>
      <c r="F29" s="6"/>
    </row>
    <row r="30" spans="1:18">
      <c r="A30" s="228" t="s">
        <v>49</v>
      </c>
      <c r="B30" s="33">
        <f>IF(ISERROR(TER_ander_ele_kWh/1000),0,TER_ander_ele_kWh/1000)</f>
        <v>552.190518</v>
      </c>
      <c r="C30" s="39">
        <f>IF(ISERROR(B30*3.6/1000000/'E Balans VL '!Z14*100),0,B30*3.6/1000000/'E Balans VL '!Z14*100)</f>
        <v>2.2334474623697604E-2</v>
      </c>
      <c r="D30" s="233" t="s">
        <v>691</v>
      </c>
      <c r="F30" s="6"/>
    </row>
    <row r="31" spans="1:18">
      <c r="A31" s="228" t="s">
        <v>54</v>
      </c>
      <c r="B31" s="33">
        <f>IF(ISERROR(TER_onderwijs_ele_kWh/1000),0,TER_onderwijs_ele_kWh/1000)</f>
        <v>97.624404999999996</v>
      </c>
      <c r="C31" s="39">
        <f>IF(ISERROR(B31*3.6/1000000/'E Balans VL '!Z11*100),0,B31*3.6/1000000/'E Balans VL '!Z11*100)</f>
        <v>2.6821693621321144E-2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0</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6893.412029000001</v>
      </c>
      <c r="C5" s="17">
        <f>IF(ISERROR('Eigen informatie GS &amp; warmtenet'!B61),0,'Eigen informatie GS &amp; warmtenet'!B61)</f>
        <v>0</v>
      </c>
      <c r="D5" s="30">
        <f>SUM(D6:D15)</f>
        <v>3151.2051970560001</v>
      </c>
      <c r="E5" s="17">
        <f>SUM(E6:E15)</f>
        <v>16.685435983663051</v>
      </c>
      <c r="F5" s="17">
        <f>SUM(F6:F15)</f>
        <v>1220.977984697965</v>
      </c>
      <c r="G5" s="18"/>
      <c r="H5" s="17"/>
      <c r="I5" s="17"/>
      <c r="J5" s="17">
        <f>SUM(J6:J15)</f>
        <v>0.7560816856130631</v>
      </c>
      <c r="K5" s="17"/>
      <c r="L5" s="17"/>
      <c r="M5" s="17"/>
      <c r="N5" s="17">
        <f>SUM(N6:N15)</f>
        <v>239.10012816456103</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833.95664499999998</v>
      </c>
      <c r="C8" s="33"/>
      <c r="D8" s="37">
        <f>IF( ISERROR(IND_metaal_Gas_kWH/1000),0,IND_metaal_Gas_kWH/1000)*0.903</f>
        <v>204.30862710300002</v>
      </c>
      <c r="E8" s="33">
        <f>C30*'E Balans VL '!I18/100/3.6*1000000</f>
        <v>4.2049549122831733</v>
      </c>
      <c r="F8" s="33">
        <f>C30*'E Balans VL '!L18/100/3.6*1000000+C30*'E Balans VL '!N18/100/3.6*1000000</f>
        <v>56.977622135962889</v>
      </c>
      <c r="G8" s="34"/>
      <c r="H8" s="33"/>
      <c r="I8" s="33"/>
      <c r="J8" s="40">
        <f>C30*'E Balans VL '!D18/100/3.6*1000000+C30*'E Balans VL '!E18/100/3.6*1000000</f>
        <v>0.7393737032107448</v>
      </c>
      <c r="K8" s="33"/>
      <c r="L8" s="33"/>
      <c r="M8" s="33"/>
      <c r="N8" s="33">
        <f>C30*'E Balans VL '!Y18/100/3.6*1000000</f>
        <v>11.08328876118847</v>
      </c>
      <c r="O8" s="33"/>
      <c r="P8" s="33"/>
      <c r="R8" s="32"/>
    </row>
    <row r="9" spans="1:18">
      <c r="A9" s="6" t="s">
        <v>32</v>
      </c>
      <c r="B9" s="37">
        <f t="shared" si="0"/>
        <v>1782.2728829999999</v>
      </c>
      <c r="C9" s="33"/>
      <c r="D9" s="37">
        <f>IF( ISERROR(IND_andere_gas_kWh/1000),0,IND_andere_gas_kWh/1000)*0.903</f>
        <v>1981.5408142740002</v>
      </c>
      <c r="E9" s="33">
        <f>C31*'E Balans VL '!I19/100/3.6*1000000</f>
        <v>5.6181453554805101</v>
      </c>
      <c r="F9" s="33">
        <f>C31*'E Balans VL '!L19/100/3.6*1000000+C31*'E Balans VL '!N19/100/3.6*1000000</f>
        <v>1091.0324988717678</v>
      </c>
      <c r="G9" s="34"/>
      <c r="H9" s="33"/>
      <c r="I9" s="33"/>
      <c r="J9" s="40">
        <f>C31*'E Balans VL '!D19/100/3.6*1000000+C31*'E Balans VL '!E19/100/3.6*1000000</f>
        <v>0</v>
      </c>
      <c r="K9" s="33"/>
      <c r="L9" s="33"/>
      <c r="M9" s="33"/>
      <c r="N9" s="33">
        <f>C31*'E Balans VL '!Y19/100/3.6*1000000</f>
        <v>74.733121991495025</v>
      </c>
      <c r="O9" s="33"/>
      <c r="P9" s="33"/>
      <c r="R9" s="32"/>
    </row>
    <row r="10" spans="1:18">
      <c r="A10" s="6" t="s">
        <v>40</v>
      </c>
      <c r="B10" s="37">
        <f t="shared" si="0"/>
        <v>3260.1415830000001</v>
      </c>
      <c r="C10" s="33"/>
      <c r="D10" s="37">
        <f>IF( ISERROR(IND_voed_gas_kWh/1000),0,IND_voed_gas_kWh/1000)*0.903</f>
        <v>756.92917406399988</v>
      </c>
      <c r="E10" s="33">
        <f>C32*'E Balans VL '!I20/100/3.6*1000000</f>
        <v>5.1957500946887194</v>
      </c>
      <c r="F10" s="33">
        <f>C32*'E Balans VL '!L20/100/3.6*1000000+C32*'E Balans VL '!N20/100/3.6*1000000</f>
        <v>52.969380942105019</v>
      </c>
      <c r="G10" s="34"/>
      <c r="H10" s="33"/>
      <c r="I10" s="33"/>
      <c r="J10" s="40">
        <f>C32*'E Balans VL '!D20/100/3.6*1000000+C32*'E Balans VL '!E20/100/3.6*1000000</f>
        <v>0</v>
      </c>
      <c r="K10" s="33"/>
      <c r="L10" s="33"/>
      <c r="M10" s="33"/>
      <c r="N10" s="33">
        <f>C32*'E Balans VL '!Y20/100/3.6*1000000</f>
        <v>102.97155355072182</v>
      </c>
      <c r="O10" s="33"/>
      <c r="P10" s="33"/>
      <c r="R10" s="32"/>
    </row>
    <row r="11" spans="1:18">
      <c r="A11" s="6" t="s">
        <v>39</v>
      </c>
      <c r="B11" s="37">
        <f t="shared" si="0"/>
        <v>940.13297699999998</v>
      </c>
      <c r="C11" s="33"/>
      <c r="D11" s="37">
        <f>IF( ISERROR(IND_textiel_gas_kWh/1000),0,IND_textiel_gas_kWh/1000)*0.903</f>
        <v>75.981686150999991</v>
      </c>
      <c r="E11" s="33">
        <f>C33*'E Balans VL '!I21/100/3.6*1000000</f>
        <v>1.3639611604036423</v>
      </c>
      <c r="F11" s="33">
        <f>C33*'E Balans VL '!L21/100/3.6*1000000+C33*'E Balans VL '!N21/100/3.6*1000000</f>
        <v>18.39900641146199</v>
      </c>
      <c r="G11" s="34"/>
      <c r="H11" s="33"/>
      <c r="I11" s="33"/>
      <c r="J11" s="40">
        <f>C33*'E Balans VL '!D21/100/3.6*1000000+C33*'E Balans VL '!E21/100/3.6*1000000</f>
        <v>0</v>
      </c>
      <c r="K11" s="33"/>
      <c r="L11" s="33"/>
      <c r="M11" s="33"/>
      <c r="N11" s="33">
        <f>C33*'E Balans VL '!Y21/100/3.6*1000000</f>
        <v>45.801144967174018</v>
      </c>
      <c r="O11" s="33"/>
      <c r="P11" s="33"/>
      <c r="R11" s="32"/>
    </row>
    <row r="12" spans="1:18">
      <c r="A12" s="6" t="s">
        <v>36</v>
      </c>
      <c r="B12" s="37">
        <f t="shared" si="0"/>
        <v>25.693197999999999</v>
      </c>
      <c r="C12" s="33"/>
      <c r="D12" s="37">
        <f>IF( ISERROR(IND_min_gas_kWh/1000),0,IND_min_gas_kWh/1000)*0.903</f>
        <v>0</v>
      </c>
      <c r="E12" s="33">
        <f>C34*'E Balans VL '!I22/100/3.6*1000000</f>
        <v>0.11118142505927756</v>
      </c>
      <c r="F12" s="33">
        <f>C34*'E Balans VL '!L22/100/3.6*1000000+C34*'E Balans VL '!N22/100/3.6*1000000</f>
        <v>0.98099801607763049</v>
      </c>
      <c r="G12" s="34"/>
      <c r="H12" s="33"/>
      <c r="I12" s="33"/>
      <c r="J12" s="40">
        <f>C34*'E Balans VL '!D22/100/3.6*1000000+C34*'E Balans VL '!E22/100/3.6*1000000</f>
        <v>0</v>
      </c>
      <c r="K12" s="33"/>
      <c r="L12" s="33"/>
      <c r="M12" s="33"/>
      <c r="N12" s="33">
        <f>C34*'E Balans VL '!Y22/100/3.6*1000000</f>
        <v>4.3826808028762967</v>
      </c>
      <c r="O12" s="33"/>
      <c r="P12" s="33"/>
      <c r="R12" s="32"/>
    </row>
    <row r="13" spans="1:18">
      <c r="A13" s="6" t="s">
        <v>38</v>
      </c>
      <c r="B13" s="37">
        <f t="shared" si="0"/>
        <v>43.619540999999998</v>
      </c>
      <c r="C13" s="33"/>
      <c r="D13" s="37">
        <f>IF( ISERROR(IND_papier_gas_kWh/1000),0,IND_papier_gas_kWh/1000)*0.903</f>
        <v>109.060834554</v>
      </c>
      <c r="E13" s="33">
        <f>C35*'E Balans VL '!I23/100/3.6*1000000</f>
        <v>0</v>
      </c>
      <c r="F13" s="33">
        <f>C35*'E Balans VL '!L23/100/3.6*1000000+C35*'E Balans VL '!N23/100/3.6*1000000</f>
        <v>1.8898013417452105E-3</v>
      </c>
      <c r="G13" s="34"/>
      <c r="H13" s="33"/>
      <c r="I13" s="33"/>
      <c r="J13" s="40">
        <f>C35*'E Balans VL '!D23/100/3.6*1000000+C35*'E Balans VL '!E23/100/3.6*1000000</f>
        <v>1.2019263875713568E-3</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7.5952020000000005</v>
      </c>
      <c r="C15" s="33"/>
      <c r="D15" s="37">
        <f>IF( ISERROR(IND_rest_gas_kWh/1000),0,IND_rest_gas_kWh/1000)*0.903</f>
        <v>23.384060910000002</v>
      </c>
      <c r="E15" s="33">
        <f>C37*'E Balans VL '!I15/100/3.6*1000000</f>
        <v>0.19144303574772964</v>
      </c>
      <c r="F15" s="33">
        <f>C37*'E Balans VL '!L15/100/3.6*1000000+C37*'E Balans VL '!N15/100/3.6*1000000</f>
        <v>0.6165885192475784</v>
      </c>
      <c r="G15" s="34"/>
      <c r="H15" s="33"/>
      <c r="I15" s="33"/>
      <c r="J15" s="40">
        <f>C37*'E Balans VL '!D15/100/3.6*1000000+C37*'E Balans VL '!E15/100/3.6*1000000</f>
        <v>1.5506056014746979E-2</v>
      </c>
      <c r="K15" s="33"/>
      <c r="L15" s="33"/>
      <c r="M15" s="33"/>
      <c r="N15" s="33">
        <f>C37*'E Balans VL '!Y15/100/3.6*1000000</f>
        <v>0.12833809110537459</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6893.412029000001</v>
      </c>
      <c r="C18" s="21">
        <f>C5+C16</f>
        <v>0</v>
      </c>
      <c r="D18" s="21">
        <f>MAX((D5+D16),0)</f>
        <v>3151.2051970560001</v>
      </c>
      <c r="E18" s="21">
        <f>MAX((E5+E16),0)</f>
        <v>16.685435983663051</v>
      </c>
      <c r="F18" s="21">
        <f>MAX((F5+F16),0)</f>
        <v>1220.977984697965</v>
      </c>
      <c r="G18" s="21"/>
      <c r="H18" s="21"/>
      <c r="I18" s="21"/>
      <c r="J18" s="21">
        <f>MAX((J5+J16),0)</f>
        <v>0.7560816856130631</v>
      </c>
      <c r="K18" s="21"/>
      <c r="L18" s="21">
        <f>MAX((L5+L16),0)</f>
        <v>0</v>
      </c>
      <c r="M18" s="21"/>
      <c r="N18" s="21">
        <f>MAX((N5+N16),0)</f>
        <v>239.10012816456103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0.19249664573789357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1326.9586932717473</v>
      </c>
      <c r="C22" s="23">
        <f ca="1">C18*C20</f>
        <v>0</v>
      </c>
      <c r="D22" s="23">
        <f>D18*D20</f>
        <v>636.54344980531209</v>
      </c>
      <c r="E22" s="23">
        <f>E18*E20</f>
        <v>3.787593968291513</v>
      </c>
      <c r="F22" s="23">
        <f>F18*F20</f>
        <v>326.00112191435664</v>
      </c>
      <c r="G22" s="23"/>
      <c r="H22" s="23"/>
      <c r="I22" s="23"/>
      <c r="J22" s="23">
        <f>J18*J20</f>
        <v>0.26765291670702435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833.95664499999998</v>
      </c>
      <c r="C30" s="39">
        <f>IF(ISERROR(B30*3.6/1000000/'E Balans VL '!Z18*100),0,B30*3.6/1000000/'E Balans VL '!Z18*100)</f>
        <v>4.1395728329061798E-2</v>
      </c>
      <c r="D30" s="233" t="s">
        <v>691</v>
      </c>
    </row>
    <row r="31" spans="1:18">
      <c r="A31" s="6" t="s">
        <v>32</v>
      </c>
      <c r="B31" s="37">
        <f>IF( ISERROR(IND_ander_ele_kWh/1000),0,IND_ander_ele_kWh/1000)</f>
        <v>1782.2728829999999</v>
      </c>
      <c r="C31" s="39">
        <f>IF(ISERROR(B31*3.6/1000000/'E Balans VL '!Z19*100),0,B31*3.6/1000000/'E Balans VL '!Z19*100)</f>
        <v>6.0142576869897192E-2</v>
      </c>
      <c r="D31" s="233" t="s">
        <v>691</v>
      </c>
    </row>
    <row r="32" spans="1:18">
      <c r="A32" s="168" t="s">
        <v>40</v>
      </c>
      <c r="B32" s="37">
        <f>IF( ISERROR(IND_voed_ele_kWh/1000),0,IND_voed_ele_kWh/1000)</f>
        <v>3260.1415830000001</v>
      </c>
      <c r="C32" s="39">
        <f>IF(ISERROR(B32*3.6/1000000/'E Balans VL '!Z20*100),0,B32*3.6/1000000/'E Balans VL '!Z20*100)</f>
        <v>7.6562185621231793E-2</v>
      </c>
      <c r="D32" s="233" t="s">
        <v>691</v>
      </c>
    </row>
    <row r="33" spans="1:5">
      <c r="A33" s="168" t="s">
        <v>39</v>
      </c>
      <c r="B33" s="37">
        <f>IF( ISERROR(IND_textiel_ele_kWh/1000),0,IND_textiel_ele_kWh/1000)</f>
        <v>940.13297699999998</v>
      </c>
      <c r="C33" s="39">
        <f>IF(ISERROR(B33*3.6/1000000/'E Balans VL '!Z21*100),0,B33*3.6/1000000/'E Balans VL '!Z21*100)</f>
        <v>0.10317840255207211</v>
      </c>
      <c r="D33" s="233" t="s">
        <v>691</v>
      </c>
    </row>
    <row r="34" spans="1:5">
      <c r="A34" s="168" t="s">
        <v>36</v>
      </c>
      <c r="B34" s="37">
        <f>IF( ISERROR(IND_min_ele_kWh/1000),0,IND_min_ele_kWh/1000)</f>
        <v>25.693197999999999</v>
      </c>
      <c r="C34" s="39">
        <f>IF(ISERROR(B34*3.6/1000000/'E Balans VL '!Z22*100),0,B34*3.6/1000000/'E Balans VL '!Z22*100)</f>
        <v>3.6451134898088178E-3</v>
      </c>
      <c r="D34" s="233" t="s">
        <v>691</v>
      </c>
    </row>
    <row r="35" spans="1:5">
      <c r="A35" s="168" t="s">
        <v>38</v>
      </c>
      <c r="B35" s="37">
        <f>IF( ISERROR(IND_papier_ele_kWh/1000),0,IND_papier_ele_kWh/1000)</f>
        <v>43.619540999999998</v>
      </c>
      <c r="C35" s="39">
        <f>IF(ISERROR(B35*3.6/1000000/'E Balans VL '!Z22*100),0,B35*3.6/1000000/'E Balans VL '!Z22*100)</f>
        <v>6.1883373692277928E-3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7.5952020000000005</v>
      </c>
      <c r="C37" s="39">
        <f>IF(ISERROR(B37*3.6/1000000/'E Balans VL '!Z15*100),0,B37*3.6/1000000/'E Balans VL '!Z15*100)</f>
        <v>2.8463241295323889E-5</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1837.1104521508403</v>
      </c>
      <c r="C5" s="17">
        <f>'Eigen informatie GS &amp; warmtenet'!B62</f>
        <v>0</v>
      </c>
      <c r="D5" s="30">
        <f>IF(ISERROR(SUM(LB_lb_gas_kWh,LB_rest_gas_kWh)/1000),0,SUM(LB_lb_gas_kWh,LB_rest_gas_kWh)/1000)*0.903</f>
        <v>447.26055857700004</v>
      </c>
      <c r="E5" s="17">
        <f>B17*'E Balans VL '!I25/3.6*1000000/100</f>
        <v>68.511468080719396</v>
      </c>
      <c r="F5" s="17">
        <f>B17*('E Balans VL '!L25/3.6*1000000+'E Balans VL '!N25/3.6*1000000)/100</f>
        <v>5960.2961941993808</v>
      </c>
      <c r="G5" s="18"/>
      <c r="H5" s="17"/>
      <c r="I5" s="17"/>
      <c r="J5" s="17">
        <f>('E Balans VL '!D25+'E Balans VL '!E25)/3.6*1000000*landbouw!B17/100</f>
        <v>482.25056333329201</v>
      </c>
      <c r="K5" s="17"/>
      <c r="L5" s="17">
        <f>L6*(-1)</f>
        <v>0</v>
      </c>
      <c r="M5" s="17"/>
      <c r="N5" s="17">
        <f>N6*(-1)</f>
        <v>124.71428571428569</v>
      </c>
      <c r="O5" s="17"/>
      <c r="P5" s="17"/>
      <c r="R5" s="32"/>
    </row>
    <row r="6" spans="1:18">
      <c r="A6" s="16" t="s">
        <v>473</v>
      </c>
      <c r="B6" s="17" t="s">
        <v>210</v>
      </c>
      <c r="C6" s="17">
        <f>'lokale energieproductie'!O39+'lokale energieproductie'!O32</f>
        <v>62.357142857142847</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-124.71428571428569</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1837.1104521508403</v>
      </c>
      <c r="C8" s="21">
        <f>C5+C6</f>
        <v>62.357142857142847</v>
      </c>
      <c r="D8" s="21">
        <f>MAX((D5+D6),0)</f>
        <v>447.26055857700004</v>
      </c>
      <c r="E8" s="21">
        <f>MAX((E5+E6),0)</f>
        <v>68.511468080719396</v>
      </c>
      <c r="F8" s="21">
        <f>MAX((F5+F6),0)</f>
        <v>5960.2961941993808</v>
      </c>
      <c r="G8" s="21"/>
      <c r="H8" s="21"/>
      <c r="I8" s="21"/>
      <c r="J8" s="21">
        <f>MAX((J5+J6),0)</f>
        <v>482.25056333329201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0.19249664573789357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353.63759988906179</v>
      </c>
      <c r="C12" s="23">
        <f ca="1">C8*C10</f>
        <v>0</v>
      </c>
      <c r="D12" s="23">
        <f>D8*D10</f>
        <v>90.346632832554008</v>
      </c>
      <c r="E12" s="23">
        <f>E8*E10</f>
        <v>15.552103254323303</v>
      </c>
      <c r="F12" s="23">
        <f>F8*F10</f>
        <v>1591.3990838512348</v>
      </c>
      <c r="G12" s="23"/>
      <c r="H12" s="23"/>
      <c r="I12" s="23"/>
      <c r="J12" s="23">
        <f>J8*J10</f>
        <v>170.71669941998536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0.25232232662947457</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265.81116927933601</v>
      </c>
      <c r="C26" s="243">
        <f>B26*'GWP N2O_CH4'!B5</f>
        <v>5582.0345548660562</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176.0385975327261</v>
      </c>
      <c r="C27" s="243">
        <f>B27*'GWP N2O_CH4'!B5</f>
        <v>3696.8105481872481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4.4135071442578289</v>
      </c>
      <c r="C28" s="243">
        <f>B28*'GWP N2O_CH4'!B4</f>
        <v>1368.1872147199269</v>
      </c>
      <c r="D28" s="50"/>
    </row>
    <row r="29" spans="1:4">
      <c r="A29" s="41" t="s">
        <v>272</v>
      </c>
      <c r="B29" s="243">
        <f>B34*'ha_N2O bodem landbouw'!B4</f>
        <v>10.689476177806727</v>
      </c>
      <c r="C29" s="243">
        <f>B29*'GWP N2O_CH4'!B4</f>
        <v>3313.7376151200851</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2.4361621480551718E-3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6.5511779004305884E-4</v>
      </c>
      <c r="C5" s="434" t="s">
        <v>210</v>
      </c>
      <c r="D5" s="419">
        <f>SUM(D6:D11)</f>
        <v>1.1159280728694539E-3</v>
      </c>
      <c r="E5" s="419">
        <f>SUM(E6:E11)</f>
        <v>6.7462483576190301E-4</v>
      </c>
      <c r="F5" s="432" t="s">
        <v>210</v>
      </c>
      <c r="G5" s="419">
        <f>SUM(G6:G11)</f>
        <v>0.30243334195467469</v>
      </c>
      <c r="H5" s="419">
        <f>SUM(H6:H11)</f>
        <v>6.9209121605081025E-2</v>
      </c>
      <c r="I5" s="434" t="s">
        <v>210</v>
      </c>
      <c r="J5" s="434" t="s">
        <v>210</v>
      </c>
      <c r="K5" s="434" t="s">
        <v>210</v>
      </c>
      <c r="L5" s="434" t="s">
        <v>210</v>
      </c>
      <c r="M5" s="419">
        <f>SUM(M6:M11)</f>
        <v>2.1838578835359591E-2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5.1938266394087538E-5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9.0252376639053376E-5</v>
      </c>
      <c r="E6" s="885">
        <f>vkm_GW_PW*SUMIFS(TableVerdeelsleutelVkm[LPG],TableVerdeelsleutelVkm[Voertuigtype],"Lichte voertuigen")*SUMIFS(TableECFTransport[EnergieConsumptieFactor (PJ per km)],TableECFTransport[Index],CONCATENATE($A6,"_LPG_LPG"))</f>
        <v>5.0186208852014164E-5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1.5081432927645556E-2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5.4987408631020675E-3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1.2313626665406232E-3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2.2837877942724999E-7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9.452026231932564E-3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9.6157038680260403E-8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5.3216364907644731E-4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2.168157575280879E-4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4.837467754499245E-4</v>
      </c>
      <c r="E8" s="422">
        <f>vkm_NGW_PW*SUMIFS(TableVerdeelsleutelVkm[LPG],TableVerdeelsleutelVkm[Voertuigtype],"Lichte voertuigen")*SUMIFS(TableECFTransport[EnergieConsumptieFactor (PJ per km)],TableECFTransport[Index],CONCATENATE($A8,"_LPG_LPG"))</f>
        <v>2.5764253024217166E-4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7.1253344721187925E-2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2.9112009202208401E-2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6.0354522838582617E-3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1.4260868425698177E-7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7.600679991862278E-3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7.2474921181377954E-8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4.2792966450299908E-4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3.8346490807703682E-4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5.4192892078047596E-4</v>
      </c>
      <c r="E10" s="422">
        <f>vkm_SW_PW*SUMIFS(TableVerdeelsleutelVkm[LPG],TableVerdeelsleutelVkm[Voertuigtype],"Lichte voertuigen")*SUMIFS(TableECFTransport[EnergieConsumptieFactor (PJ per km)],TableECFTransport[Index],CONCATENATE($A10,"_LPG_LPG"))</f>
        <v>3.6679609666771725E-4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0.10020702905500779</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3.4597107412286887E-2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8.0468858609214679E-3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2.5278705801622775E-6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9.8838829027038569E-2</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1.0954955238110132E-6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5.5647847104597923E-3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181.97716390084966</v>
      </c>
      <c r="C14" s="21"/>
      <c r="D14" s="21">
        <f t="shared" ref="D14:M14" si="0">((D5)*10^9/3600)+D12</f>
        <v>309.98002024151504</v>
      </c>
      <c r="E14" s="21">
        <f t="shared" si="0"/>
        <v>187.39578771163971</v>
      </c>
      <c r="F14" s="21"/>
      <c r="G14" s="21">
        <f t="shared" si="0"/>
        <v>84009.261654076312</v>
      </c>
      <c r="H14" s="21">
        <f t="shared" si="0"/>
        <v>19224.756001411395</v>
      </c>
      <c r="I14" s="21"/>
      <c r="J14" s="21"/>
      <c r="K14" s="21"/>
      <c r="L14" s="21"/>
      <c r="M14" s="21">
        <f t="shared" si="0"/>
        <v>6066.2718987109974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0.19249664573789357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35.029993651808454</v>
      </c>
      <c r="C18" s="23"/>
      <c r="D18" s="23">
        <f t="shared" ref="D18:M18" si="1">D14*D16</f>
        <v>62.615964088786043</v>
      </c>
      <c r="E18" s="23">
        <f t="shared" si="1"/>
        <v>42.538843810542218</v>
      </c>
      <c r="F18" s="23"/>
      <c r="G18" s="23">
        <f t="shared" si="1"/>
        <v>22430.472861638376</v>
      </c>
      <c r="H18" s="23">
        <f t="shared" si="1"/>
        <v>4786.9642443514376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2.886782975573249E-5</v>
      </c>
      <c r="C50" s="315">
        <f t="shared" ref="C50:P50" si="2">SUM(C51:C52)</f>
        <v>0</v>
      </c>
      <c r="D50" s="315">
        <f t="shared" si="2"/>
        <v>0</v>
      </c>
      <c r="E50" s="315">
        <f t="shared" si="2"/>
        <v>0</v>
      </c>
      <c r="F50" s="315">
        <f t="shared" si="2"/>
        <v>0</v>
      </c>
      <c r="G50" s="315">
        <f t="shared" si="2"/>
        <v>2.0605336461423855E-3</v>
      </c>
      <c r="H50" s="315">
        <f t="shared" si="2"/>
        <v>0</v>
      </c>
      <c r="I50" s="315">
        <f t="shared" si="2"/>
        <v>0</v>
      </c>
      <c r="J50" s="315">
        <f t="shared" si="2"/>
        <v>0</v>
      </c>
      <c r="K50" s="315">
        <f t="shared" si="2"/>
        <v>0</v>
      </c>
      <c r="L50" s="315">
        <f t="shared" si="2"/>
        <v>0</v>
      </c>
      <c r="M50" s="315">
        <f t="shared" si="2"/>
        <v>1.1377977051550037E-4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2.886782975573249E-5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2.0605336461423855E-3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1.1377977051550037E-4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8.0188415988145803</v>
      </c>
      <c r="C54" s="21">
        <f t="shared" ref="C54:P54" si="3">(C50)*10^9/3600</f>
        <v>0</v>
      </c>
      <c r="D54" s="21">
        <f t="shared" si="3"/>
        <v>0</v>
      </c>
      <c r="E54" s="21">
        <f t="shared" si="3"/>
        <v>0</v>
      </c>
      <c r="F54" s="21">
        <f t="shared" si="3"/>
        <v>0</v>
      </c>
      <c r="G54" s="21">
        <f t="shared" si="3"/>
        <v>572.37045726177371</v>
      </c>
      <c r="H54" s="21">
        <f t="shared" si="3"/>
        <v>0</v>
      </c>
      <c r="I54" s="21">
        <f t="shared" si="3"/>
        <v>0</v>
      </c>
      <c r="J54" s="21">
        <f t="shared" si="3"/>
        <v>0</v>
      </c>
      <c r="K54" s="21">
        <f t="shared" si="3"/>
        <v>0</v>
      </c>
      <c r="L54" s="21">
        <f t="shared" si="3"/>
        <v>0</v>
      </c>
      <c r="M54" s="21">
        <f t="shared" si="3"/>
        <v>31.605491809861213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0.19249664573789357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1.5436001104752943</v>
      </c>
      <c r="C58" s="23">
        <f t="shared" ref="C58:P58" ca="1" si="4">C54*C56</f>
        <v>0</v>
      </c>
      <c r="D58" s="23">
        <f t="shared" si="4"/>
        <v>0</v>
      </c>
      <c r="E58" s="23">
        <f t="shared" si="4"/>
        <v>0</v>
      </c>
      <c r="F58" s="23">
        <f t="shared" si="4"/>
        <v>0</v>
      </c>
      <c r="G58" s="23">
        <f t="shared" si="4"/>
        <v>152.82291208889359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28" sqref="M28"/>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4186.5305562704352</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43.649999999999991</v>
      </c>
      <c r="C8" s="544">
        <f>B48</f>
        <v>0</v>
      </c>
      <c r="D8" s="545"/>
      <c r="E8" s="545">
        <f>E48</f>
        <v>0</v>
      </c>
      <c r="F8" s="546"/>
      <c r="G8" s="547"/>
      <c r="H8" s="545">
        <f>I48</f>
        <v>0</v>
      </c>
      <c r="I8" s="545">
        <f>G48+F48</f>
        <v>0</v>
      </c>
      <c r="J8" s="545">
        <f>H48+D48+C48</f>
        <v>51.35294117647058</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4230.1805562704349</v>
      </c>
      <c r="C10" s="559">
        <f t="shared" ref="C10:L10" si="0">SUM(C8:C9)</f>
        <v>0</v>
      </c>
      <c r="D10" s="559">
        <f t="shared" si="0"/>
        <v>0</v>
      </c>
      <c r="E10" s="559">
        <f t="shared" si="0"/>
        <v>0</v>
      </c>
      <c r="F10" s="559">
        <f t="shared" si="0"/>
        <v>0</v>
      </c>
      <c r="G10" s="559">
        <f t="shared" si="0"/>
        <v>0</v>
      </c>
      <c r="H10" s="559">
        <f t="shared" si="0"/>
        <v>0</v>
      </c>
      <c r="I10" s="559">
        <f t="shared" si="0"/>
        <v>0</v>
      </c>
      <c r="J10" s="559">
        <f t="shared" si="0"/>
        <v>51.35294117647058</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62.357142857142847</v>
      </c>
      <c r="C17" s="575">
        <f>B49</f>
        <v>0</v>
      </c>
      <c r="D17" s="576"/>
      <c r="E17" s="576">
        <f>E49</f>
        <v>0</v>
      </c>
      <c r="F17" s="577"/>
      <c r="G17" s="578"/>
      <c r="H17" s="575">
        <f>I49</f>
        <v>0</v>
      </c>
      <c r="I17" s="576">
        <f>G49+F49</f>
        <v>0</v>
      </c>
      <c r="J17" s="576">
        <f>H49+D49+C49</f>
        <v>73.361344537815114</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62.357142857142847</v>
      </c>
      <c r="C20" s="558">
        <f>SUM(C17:C19)</f>
        <v>0</v>
      </c>
      <c r="D20" s="558">
        <f t="shared" ref="D20:L20" si="1">SUM(D17:D19)</f>
        <v>0</v>
      </c>
      <c r="E20" s="558">
        <f t="shared" si="1"/>
        <v>0</v>
      </c>
      <c r="F20" s="558">
        <f t="shared" si="1"/>
        <v>0</v>
      </c>
      <c r="G20" s="558">
        <f t="shared" si="1"/>
        <v>0</v>
      </c>
      <c r="H20" s="558">
        <f t="shared" si="1"/>
        <v>0</v>
      </c>
      <c r="I20" s="558">
        <f t="shared" si="1"/>
        <v>0</v>
      </c>
      <c r="J20" s="558">
        <f t="shared" si="1"/>
        <v>73.361344537815114</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25.5">
      <c r="A28" s="588"/>
      <c r="B28" s="786">
        <v>36010</v>
      </c>
      <c r="C28" s="786">
        <v>8880</v>
      </c>
      <c r="D28" s="636" t="s">
        <v>883</v>
      </c>
      <c r="E28" s="635" t="s">
        <v>884</v>
      </c>
      <c r="F28" s="635" t="s">
        <v>885</v>
      </c>
      <c r="G28" s="635" t="s">
        <v>886</v>
      </c>
      <c r="H28" s="635" t="s">
        <v>887</v>
      </c>
      <c r="I28" s="635" t="s">
        <v>884</v>
      </c>
      <c r="J28" s="785">
        <v>41890</v>
      </c>
      <c r="K28" s="785">
        <v>41890</v>
      </c>
      <c r="L28" s="635" t="s">
        <v>888</v>
      </c>
      <c r="M28" s="635">
        <v>9.6999999999999993</v>
      </c>
      <c r="N28" s="635">
        <v>43.649999999999991</v>
      </c>
      <c r="O28" s="635">
        <v>62.357142857142847</v>
      </c>
      <c r="P28" s="635">
        <v>0</v>
      </c>
      <c r="Q28" s="635">
        <v>124.71428571428569</v>
      </c>
      <c r="R28" s="635">
        <v>0</v>
      </c>
      <c r="S28" s="635">
        <v>0</v>
      </c>
      <c r="T28" s="635">
        <v>0</v>
      </c>
      <c r="U28" s="635">
        <v>0</v>
      </c>
      <c r="V28" s="635">
        <v>0</v>
      </c>
      <c r="W28" s="635">
        <v>0</v>
      </c>
      <c r="X28" s="635">
        <v>10</v>
      </c>
      <c r="Y28" s="635" t="s">
        <v>111</v>
      </c>
      <c r="Z28" s="637" t="s">
        <v>111</v>
      </c>
    </row>
    <row r="29" spans="1:26" s="569" customFormat="1">
      <c r="A29" s="591" t="s">
        <v>275</v>
      </c>
      <c r="B29" s="592"/>
      <c r="C29" s="592"/>
      <c r="D29" s="592"/>
      <c r="E29" s="592"/>
      <c r="F29" s="592"/>
      <c r="G29" s="592"/>
      <c r="H29" s="592"/>
      <c r="I29" s="592"/>
      <c r="J29" s="592"/>
      <c r="K29" s="592"/>
      <c r="L29" s="593"/>
      <c r="M29" s="593">
        <f>SUM(M28:M28)</f>
        <v>9.6999999999999993</v>
      </c>
      <c r="N29" s="593">
        <f>SUM(N28:N28)</f>
        <v>43.649999999999991</v>
      </c>
      <c r="O29" s="593">
        <f>SUM(O28:O28)</f>
        <v>62.357142857142847</v>
      </c>
      <c r="P29" s="593">
        <f>SUM(P28:P28)</f>
        <v>0</v>
      </c>
      <c r="Q29" s="593">
        <f>SUM(Q28:Q28)</f>
        <v>124.71428571428569</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9.6999999999999993</v>
      </c>
      <c r="N32" s="598">
        <f>SUMIF($Z$28:$Z$28,"landbouw",N28:N28)</f>
        <v>43.649999999999991</v>
      </c>
      <c r="O32" s="598">
        <f>SUMIF($Z$28:$Z$28,"landbouw",O28:O28)</f>
        <v>62.357142857142847</v>
      </c>
      <c r="P32" s="598">
        <f>SUMIF($Z$28:$Z$28,"landbouw",P28:P28)</f>
        <v>0</v>
      </c>
      <c r="Q32" s="598">
        <f>SUMIF($Z$28:$Z$28,"landbouw",Q28:Q28)</f>
        <v>124.71428571428569</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0.58823529411764708</v>
      </c>
      <c r="C45" s="618">
        <f>IF(ISERROR(N29/(O29+N29)),0,N29/(N29+O29))</f>
        <v>0.41176470588235292</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51.35294117647058</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73.361344537815114</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2021-06-29T14:32:16Z</dcterms:modified>
</cp:coreProperties>
</file>