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C9" i="18" s="1"/>
  <c r="D77" i="14" s="1"/>
  <c r="D9" i="59" s="1"/>
  <c r="O38" i="18"/>
  <c r="N38" i="18"/>
  <c r="B9" i="18" s="1"/>
  <c r="M38" i="18"/>
  <c r="W34" i="18"/>
  <c r="V34" i="18"/>
  <c r="U34" i="18"/>
  <c r="T34" i="18"/>
  <c r="S34" i="18"/>
  <c r="F6" i="17" s="1"/>
  <c r="R34" i="18"/>
  <c r="Q34" i="18"/>
  <c r="P34" i="18"/>
  <c r="D6" i="17" s="1"/>
  <c r="O34" i="18"/>
  <c r="N34" i="18"/>
  <c r="M34" i="18"/>
  <c r="W33" i="18"/>
  <c r="V33" i="18"/>
  <c r="U33" i="18"/>
  <c r="T33" i="18"/>
  <c r="S33" i="18"/>
  <c r="R33" i="18"/>
  <c r="Q33" i="18"/>
  <c r="P33" i="18"/>
  <c r="O33" i="18"/>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B36" i="13"/>
  <c r="B33" i="13"/>
  <c r="B35" i="13"/>
  <c r="C35" i="13" s="1"/>
  <c r="B34" i="13"/>
  <c r="B32" i="13"/>
  <c r="C34" i="13"/>
  <c r="P5" i="13"/>
  <c r="P8" i="13" s="1"/>
  <c r="B37"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I76" i="14" l="1"/>
  <c r="I8" i="59" s="1"/>
  <c r="I10" i="59" s="1"/>
  <c r="O33" i="48"/>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9" i="20"/>
  <c r="C56" i="22"/>
  <c r="C58" i="22" s="1"/>
  <c r="D49" i="14" s="1"/>
  <c r="D52" i="14" s="1"/>
  <c r="C17" i="49"/>
  <c r="C18" i="15"/>
  <c r="C20" i="15" s="1"/>
  <c r="D40" i="14" s="1"/>
  <c r="C10" i="13"/>
  <c r="C12" i="13" s="1"/>
  <c r="D41" i="14" s="1"/>
  <c r="D46" i="14" s="1"/>
  <c r="D61" i="14" s="1"/>
  <c r="D63" i="14" s="1"/>
  <c r="C20" i="16"/>
  <c r="C22" i="16" s="1"/>
  <c r="D43" i="14" s="1"/>
  <c r="C10" i="17"/>
  <c r="C12" i="17" s="1"/>
  <c r="D54" i="14" s="1"/>
  <c r="D56" i="14" s="1"/>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<sst xmlns="http://schemas.openxmlformats.org/spreadsheetml/2006/main" count="2475" uniqueCount="898">
  <si>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</si>
  <si>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</si>
  <si>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</si>
  <si>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</si>
  <si>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</si>
  <si>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</si>
  <si>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</si>
  <si>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</si>
  <si>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</si>
  <si>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</si>
  <si>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</si>
  <si>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</si>
  <si>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</si>
  <si>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</si>
  <si>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</si>
  <si>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</si>
  <si>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</si>
  <si>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</si>
  <si>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</si>
  <si>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</si>
  <si>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</si>
  <si>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</si>
  <si>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</si>
  <si>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</si>
  <si>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</si>
  <si>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</si>
  <si>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</si>
  <si>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</si>
  <si>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</si>
  <si>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</si>
  <si>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</si>
  <si>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</si>
  <si>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</si>
  <si>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</si>
  <si>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</si>
  <si>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</si>
  <si>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</si>
  <si>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</si>
  <si>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</si>
  <si>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</si>
  <si>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</si>
  <si>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</si>
  <si>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</si>
  <si>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</si>
  <si>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</si>
  <si>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</si>
  <si>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</si>
  <si>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</si>
  <si>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</si>
  <si>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</si>
  <si>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</si>
  <si>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</si>
  <si>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</si>
  <si>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</si>
  <si>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</si>
  <si>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</si>
  <si>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</si>
  <si>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</si>
  <si>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</si>
  <si>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</si>
  <si>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</si>
  <si>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</si>
  <si>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</si>
  <si>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</si>
  <si>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</si>
  <si>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</si>
  <si>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</si>
  <si>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</si>
  <si>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</si>
  <si>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</si>
  <si>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</si>
  <si>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</si>
  <si>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</si>
  <si>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</si>
  <si>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</si>
  <si>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</si>
  <si>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</si>
  <si>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</si>
  <si>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</si>
  <si>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</si>
  <si>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</si>
  <si>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</si>
  <si>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</si>
  <si>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</si>
  <si>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</si>
  <si>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</si>
  <si>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</si>
  <si>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</si>
  <si>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</si>
  <si>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</si>
  <si>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</si>
  <si>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</si>
  <si>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</si>
  <si>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</si>
  <si>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</si>
  <si>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</si>
  <si>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</si>
  <si>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</si>
  <si>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</si>
  <si>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</si>
  <si>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</si>
  <si>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</si>
  <si>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</si>
  <si>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</si>
  <si>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</si>
  <si>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</si>
  <si>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</si>
  <si>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</si>
  <si>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</si>
  <si>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</si>
  <si>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</si>
  <si>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</si>
  <si>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</si>
  <si>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</si>
  <si>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</si>
  <si>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</si>
  <si>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</si>
  <si>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</si>
  <si>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</si>
  <si>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</si>
  <si>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</si>
  <si>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</si>
  <si>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</si>
  <si>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</si>
  <si>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</si>
  <si>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</si>
  <si>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</si>
  <si>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</si>
  <si>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</si>
  <si>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</si>
  <si>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</si>
  <si>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</si>
  <si>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</si>
  <si>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</si>
  <si>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</si>
  <si>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</si>
  <si>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</si>
  <si>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</si>
  <si>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</si>
  <si>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</si>
  <si>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</si>
  <si>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</si>
  <si>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</si>
  <si>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</si>
  <si>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</si>
  <si>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</si>
  <si>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</si>
  <si>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</si>
  <si>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</si>
  <si>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</si>
  <si>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</si>
  <si>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</si>
  <si>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</si>
  <si>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</si>
  <si>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</si>
  <si>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</si>
  <si>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</si>
  <si>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</si>
  <si>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</si>
  <si>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</si>
  <si>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</si>
  <si>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</si>
  <si>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</si>
  <si>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</si>
  <si>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</si>
  <si>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</si>
  <si>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</si>
  <si>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</si>
  <si>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</si>
  <si>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</si>
  <si>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</si>
  <si>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</si>
  <si>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</si>
  <si>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</si>
  <si>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</si>
  <si>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</si>
  <si>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</si>
  <si>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</si>
  <si>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</si>
  <si>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</si>
  <si>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</si>
  <si>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</si>
  <si>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</si>
  <si>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</si>
  <si>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</si>
  <si>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</si>
  <si>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</si>
  <si>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</si>
  <si>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</si>
  <si>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</si>
  <si>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</si>
  <si>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</si>
  <si>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</si>
  <si>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</si>
  <si>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</si>
  <si>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</si>
  <si>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</si>
  <si>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</si>
  <si>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</si>
  <si>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</si>
  <si>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</si>
  <si>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</si>
  <si>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</si>
  <si>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</si>
  <si>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</si>
  <si>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</si>
  <si>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</si>
  <si>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</si>
  <si>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</si>
  <si>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</si>
  <si>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</si>
  <si>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</si>
  <si>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</si>
  <si>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</si>
  <si>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</si>
  <si>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</si>
  <si>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</si>
  <si>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</si>
  <si>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</si>
  <si>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</si>
  <si>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</si>
  <si>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</si>
  <si>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</si>
  <si>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</si>
  <si>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</si>
  <si>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</si>
  <si>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</si>
  <si>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</si>
  <si>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</si>
  <si>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</si>
  <si>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</si>
  <si>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</si>
  <si>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</si>
  <si>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</si>
  <si>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</si>
  <si>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</si>
  <si>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</si>
  <si>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</si>
  <si>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</si>
  <si>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</si>
  <si>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</si>
  <si>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</si>
  <si>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</si>
  <si>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</si>
  <si>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</si>
  <si>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</si>
  <si>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</si>
  <si>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</si>
  <si>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</si>
  <si>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</si>
  <si>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</si>
  <si>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</si>
  <si>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</si>
  <si>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</si>
  <si>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</si>
  <si>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</si>
  <si>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</si>
  <si>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</si>
  <si>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</si>
  <si>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</si>
  <si>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</si>
  <si>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</si>
  <si>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</si>
  <si>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</si>
  <si>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</si>
  <si>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</si>
  <si>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</si>
  <si>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</si>
  <si>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</si>
  <si>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</si>
  <si>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</si>
  <si>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</si>
  <si>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</si>
  <si>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</si>
  <si>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</si>
  <si>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</si>
  <si>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</si>
  <si>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</si>
  <si>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</si>
  <si>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</si>
  <si>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</si>
  <si>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</si>
  <si>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</si>
  <si>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</si>
  <si>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</si>
  <si>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</si>
  <si>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</si>
  <si>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</si>
  <si>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</si>
  <si>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</si>
  <si>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</si>
  <si>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</si>
  <si>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</si>
  <si>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</si>
  <si>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</si>
  <si>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</si>
  <si>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</si>
  <si>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</si>
  <si>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</si>
  <si>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</si>
  <si>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</si>
  <si>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</si>
  <si>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</si>
  <si>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</si>
  <si>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</si>
  <si>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</si>
  <si>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</si>
  <si>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</si>
  <si>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</si>
  <si>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</si>
  <si>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</si>
  <si>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</si>
  <si>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</si>
  <si>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</si>
  <si>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</si>
  <si>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</si>
  <si>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</si>
  <si>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</si>
  <si>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</si>
  <si>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</si>
  <si>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</si>
  <si>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</si>
  <si>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</si>
  <si>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</si>
  <si>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</si>
  <si>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</si>
  <si>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</si>
  <si>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</si>
  <si>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</si>
  <si>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</si>
  <si>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</si>
  <si>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</si>
  <si>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</si>
  <si>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</si>
  <si>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</si>
  <si>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</si>
  <si>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</si>
  <si>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</si>
  <si>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</si>
  <si>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</si>
  <si>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</si>
  <si>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</si>
  <si>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</si>
  <si>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</si>
  <si>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</si>
  <si>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</si>
  <si>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</si>
  <si>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</si>
  <si>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</si>
  <si>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</si>
  <si>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</si>
  <si>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</si>
  <si>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</si>
  <si>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</si>
  <si>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</si>
  <si>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</si>
  <si>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</si>
  <si>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</si>
  <si>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</si>
  <si>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</si>
  <si>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</si>
  <si>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</si>
  <si>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</si>
  <si>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</si>
  <si>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</si>
  <si>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</si>
  <si>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</si>
  <si>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</si>
  <si>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</si>
  <si>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</si>
  <si>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</si>
  <si>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</si>
  <si>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</si>
  <si>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</si>
  <si>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</si>
  <si>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</si>
  <si>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</si>
  <si>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</si>
  <si>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</si>
  <si>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</si>
  <si>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</si>
  <si>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</si>
  <si>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</si>
  <si>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</si>
  <si>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</si>
  <si>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</si>
  <si>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</si>
  <si>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</si>
  <si>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</si>
  <si>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</si>
  <si>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</si>
  <si>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</si>
  <si>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</si>
  <si>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</si>
  <si>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</si>
  <si>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</si>
  <si>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</si>
  <si>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</si>
  <si>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</si>
  <si>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</si>
  <si>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</si>
  <si>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</si>
  <si>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</si>
  <si>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</si>
  <si>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</si>
  <si>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</si>
  <si>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</si>
  <si>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</si>
  <si>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</si>
  <si>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</si>
  <si>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</si>
  <si>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</si>
  <si>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</si>
  <si>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</si>
  <si>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</si>
  <si>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</si>
  <si>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</si>
  <si>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</si>
  <si>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</si>
  <si>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</si>
  <si>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</si>
  <si>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</si>
  <si>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</si>
  <si>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</si>
  <si>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</si>
  <si>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</si>
  <si>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</si>
  <si>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</si>
  <si>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</si>
  <si>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</si>
  <si>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</si>
  <si>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</si>
  <si>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</si>
  <si>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</si>
  <si>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</si>
  <si>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</si>
  <si>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</si>
  <si>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</si>
  <si>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</si>
  <si>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</si>
  <si>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</si>
  <si>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</si>
  <si>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</si>
  <si>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</si>
  <si>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</si>
  <si>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</si>
  <si>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</si>
  <si>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</si>
  <si>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</si>
  <si>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</si>
  <si>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</si>
  <si>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</si>
  <si>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</si>
  <si>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</si>
  <si>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</si>
  <si>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</si>
  <si>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</si>
  <si>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</si>
  <si>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</si>
  <si>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</si>
  <si>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</si>
  <si>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</si>
  <si>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</si>
  <si>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</si>
  <si>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</si>
  <si>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</si>
  <si>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</si>
  <si>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</si>
  <si>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</si>
  <si>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</si>
  <si>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</si>
  <si>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</si>
  <si>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</si>
  <si>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</si>
  <si>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</si>
  <si>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</si>
  <si>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</si>
  <si>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</si>
  <si>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</si>
  <si>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</si>
  <si>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</si>
  <si>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</si>
  <si>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</si>
  <si>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</si>
  <si>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</si>
  <si>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</si>
  <si>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</si>
  <si>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</si>
  <si>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</si>
  <si>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</si>
  <si>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</si>
  <si>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</si>
  <si>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</si>
  <si>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</si>
  <si>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</si>
  <si>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</si>
  <si>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</si>
  <si>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</si>
  <si>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</si>
  <si>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</si>
  <si>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</si>
  <si>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</si>
  <si>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</si>
  <si>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</si>
  <si>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</si>
  <si>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</si>
  <si>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</si>
  <si>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</si>
  <si>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</si>
  <si>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</si>
  <si>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</si>
  <si>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</si>
  <si>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</si>
  <si>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</si>
  <si>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</si>
  <si>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</si>
  <si>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</si>
  <si>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</si>
  <si>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</si>
  <si>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</si>
  <si>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</si>
  <si>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</si>
  <si>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</si>
  <si>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</si>
  <si>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</si>
  <si>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</si>
  <si>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</si>
  <si>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</si>
  <si>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</si>
  <si>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</si>
  <si>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</si>
  <si>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</si>
  <si>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</si>
  <si>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</si>
  <si>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</si>
  <si>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</si>
  <si>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</si>
  <si>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</si>
  <si>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</si>
  <si>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</si>
  <si>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</si>
  <si>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</si>
  <si>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</si>
  <si>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</si>
  <si>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</si>
  <si>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</si>
  <si>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</si>
  <si>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</si>
  <si>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</si>
  <si>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</si>
  <si>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</si>
  <si>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</si>
  <si>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</si>
  <si>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</si>
  <si>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</si>
  <si>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</si>
  <si>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</si>
  <si>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</si>
  <si>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</si>
  <si>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</si>
  <si>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</si>
  <si>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</si>
  <si>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</si>
  <si>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</si>
  <si>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</si>
  <si>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</si>
  <si>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</si>
  <si>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</si>
  <si>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</si>
  <si>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</si>
  <si>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</si>
  <si>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</si>
  <si>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</si>
  <si>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</si>
  <si>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</si>
  <si>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</si>
  <si>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</si>
  <si>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</si>
  <si>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</si>
  <si>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</si>
  <si>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</si>
  <si>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</si>
  <si>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</si>
  <si>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</si>
  <si>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</si>
  <si>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</si>
  <si>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</si>
  <si>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</si>
  <si>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</si>
  <si>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</si>
  <si>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</si>
  <si>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</si>
  <si>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</si>
  <si>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</si>
  <si>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</si>
  <si>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</si>
  <si>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</si>
  <si>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</si>
  <si>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</si>
  <si>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</si>
  <si>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</si>
  <si>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</si>
  <si>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</si>
  <si>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</si>
  <si>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</si>
  <si>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</si>
  <si>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</si>
  <si>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</si>
  <si>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</si>
  <si>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</si>
  <si>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</si>
  <si>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</si>
  <si>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</si>
  <si>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</si>
  <si>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</si>
  <si>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</si>
  <si>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</si>
  <si>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</si>
  <si>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</si>
  <si>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</si>
  <si>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</si>
  <si>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</si>
  <si>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</si>
  <si>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</si>
  <si>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</si>
  <si>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</si>
  <si>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</si>
  <si>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</si>
  <si>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</si>
  <si>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</si>
  <si>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</si>
  <si>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</si>
  <si>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</si>
  <si>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</si>
  <si>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</si>
  <si>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</si>
  <si>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</si>
  <si>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</si>
  <si>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</si>
  <si>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</si>
  <si>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</si>
  <si>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</si>
  <si>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</si>
  <si>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</si>
  <si>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</si>
  <si>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</si>
  <si>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</si>
  <si>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</si>
  <si>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</si>
  <si>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</si>
  <si>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</si>
  <si>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</si>
  <si>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</si>
  <si>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</si>
  <si>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</si>
  <si>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</si>
  <si>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</si>
  <si>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</si>
  <si>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</si>
  <si>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</si>
  <si>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</si>
  <si>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</si>
  <si>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</si>
  <si>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</si>
  <si>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</si>
  <si>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</si>
  <si>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</si>
  <si>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</si>
  <si>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</si>
  <si>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</si>
  <si>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</si>
  <si>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</si>
  <si>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</si>
  <si>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</si>
  <si>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</si>
  <si>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</si>
  <si>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</si>
  <si>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</si>
  <si>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</si>
  <si>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</si>
  <si>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</si>
  <si>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</si>
  <si>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</si>
  <si>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</si>
  <si>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</si>
  <si>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</si>
  <si>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</si>
  <si>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</si>
  <si>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</si>
  <si>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</si>
  <si>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</si>
  <si>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</si>
  <si>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</si>
  <si>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</si>
  <si>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</si>
  <si>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</si>
  <si>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</si>
  <si>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</si>
  <si>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</si>
  <si>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</si>
  <si>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</si>
  <si>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</si>
  <si>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</si>
  <si>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</si>
  <si>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</si>
  <si>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</si>
  <si>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</si>
  <si>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</si>
  <si>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</si>
  <si>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</si>
  <si>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</si>
  <si>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</si>
  <si>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</si>
  <si>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</si>
  <si>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</si>
  <si>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</si>
  <si>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</si>
  <si>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</si>
  <si>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</si>
  <si>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</si>
  <si>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</si>
  <si>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</si>
  <si>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</si>
  <si>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</si>
  <si>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</si>
  <si>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</si>
  <si>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</si>
  <si>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</si>
  <si>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</si>
  <si>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</si>
  <si>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</si>
  <si>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</si>
  <si>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</si>
  <si>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</si>
  <si>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</si>
  <si>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</si>
  <si>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</si>
  <si>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</si>
  <si>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</si>
  <si>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</si>
  <si>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</si>
  <si>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</si>
  <si>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</si>
  <si>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</si>
  <si>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</si>
  <si>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</si>
  <si>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</si>
  <si>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</si>
  <si>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</si>
  <si>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</si>
  <si>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</si>
  <si>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</si>
  <si>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</si>
  <si>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</si>
  <si>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</si>
  <si>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</si>
  <si>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</si>
  <si>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</si>
  <si>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</si>
  <si>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</si>
  <si>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</si>
  <si>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</si>
  <si>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</si>
  <si>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</si>
  <si>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</si>
  <si>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</si>
  <si>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</si>
  <si>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</si>
  <si>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</si>
  <si>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</si>
  <si>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</si>
  <si>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</si>
  <si>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</si>
  <si>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</si>
  <si>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</si>
  <si>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</si>
  <si>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</si>
  <si>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</si>
  <si>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</si>
  <si>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</si>
  <si>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</si>
  <si>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</si>
  <si>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</si>
  <si>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</si>
  <si>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</si>
  <si>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</si>
  <si>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</si>
  <si>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</si>
  <si>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</si>
  <si>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</si>
  <si>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</si>
  <si>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</si>
  <si>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</si>
  <si>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</si>
  <si>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</si>
  <si>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</si>
  <si>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</si>
  <si>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</si>
  <si>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</si>
  <si>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</si>
  <si>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</si>
  <si>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</si>
  <si>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</si>
  <si>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</si>
  <si>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</si>
  <si>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</si>
  <si>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</si>
  <si>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</si>
  <si>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</si>
  <si>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</si>
  <si>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</si>
  <si>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</si>
  <si>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</si>
  <si>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</si>
  <si>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</si>
  <si>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</si>
  <si>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</si>
  <si>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</si>
  <si>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</si>
  <si>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</si>
  <si>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</si>
  <si>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</si>
  <si>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</si>
  <si>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</si>
  <si>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</si>
  <si>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</si>
  <si>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</si>
  <si>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</si>
  <si>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</si>
  <si>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</si>
  <si>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</si>
  <si>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</si>
  <si>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</si>
  <si>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</si>
  <si>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</si>
  <si>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</si>
  <si>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</si>
  <si>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</si>
  <si>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</si>
  <si>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</si>
  <si>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</si>
  <si>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</si>
  <si>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</si>
  <si>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</si>
  <si>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</si>
  <si>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</si>
  <si>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</si>
  <si>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</si>
  <si>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</si>
  <si>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</si>
  <si>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</si>
  <si>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</si>
  <si>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</si>
  <si>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</si>
  <si>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</si>
  <si>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</si>
  <si>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</si>
  <si>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</si>
  <si>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</si>
  <si>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</si>
  <si>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</si>
  <si>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</si>
  <si>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</si>
  <si>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</si>
  <si>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</si>
  <si>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</si>
  <si>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</si>
  <si>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</si>
  <si>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</si>
  <si>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</si>
  <si>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</si>
  <si>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</si>
  <si>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</si>
  <si>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</si>
  <si>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</si>
  <si>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</si>
  <si>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</si>
  <si>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</si>
  <si>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</si>
  <si>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33040</t>
  </si>
  <si>
    <t>LANGEMARK-POELKAPELLE</t>
  </si>
  <si>
    <t>referentietaak LNE (2017); Jaarverslag De Lijn</t>
  </si>
  <si>
    <t>waterkracht</t>
  </si>
  <si>
    <t>Husagro bvba</t>
  </si>
  <si>
    <t>Diksmuidestraat 6 A, 8920 Langemark</t>
  </si>
  <si>
    <t>WKK-0341 Husagro</t>
  </si>
  <si>
    <t>interne verbrandingsmotor</t>
  </si>
  <si>
    <t>WKK interne verbrandinsgmotor (gas)</t>
  </si>
  <si>
    <t>GASELWEST</t>
  </si>
  <si>
    <t>Joeri Demonie</t>
  </si>
  <si>
    <t>Haezeweidestraat 15 , 8920 Langemark</t>
  </si>
  <si>
    <t>WKK-0561 Joeri Demonie</t>
  </si>
  <si>
    <t>Husagro II</t>
  </si>
  <si>
    <t>Langemark</t>
  </si>
  <si>
    <t>WKK-0727</t>
  </si>
  <si>
    <t>Interne verbrandingsmotor</t>
  </si>
  <si>
    <t>Diksmuidestraat 6 / A</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</si>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</sst>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63660.173830135624</c:v>
                </c:pt>
                <c:pt idx="1">
                  <c:v>21678.562077434195</c:v>
                </c:pt>
                <c:pt idx="2">
                  <c:v>718.88300000000004</c:v>
                </c:pt>
                <c:pt idx="3">
                  <c:v>44181.151380549403</c:v>
                </c:pt>
                <c:pt idx="4">
                  <c:v>77053.758656208272</c:v>
                </c:pt>
                <c:pt idx="5">
                  <c:v>56093.307861241279</c:v>
                </c:pt>
                <c:pt idx="6">
                  <c:v>973.67008638101549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63660.173830135624</c:v>
                </c:pt>
                <c:pt idx="1">
                  <c:v>21678.562077434195</c:v>
                </c:pt>
                <c:pt idx="2">
                  <c:v>718.88300000000004</c:v>
                </c:pt>
                <c:pt idx="3">
                  <c:v>44181.151380549403</c:v>
                </c:pt>
                <c:pt idx="4">
                  <c:v>77053.758656208272</c:v>
                </c:pt>
                <c:pt idx="5">
                  <c:v>56093.307861241279</c:v>
                </c:pt>
                <c:pt idx="6">
                  <c:v>973.67008638101549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13568.385921471983</c:v>
                </c:pt>
                <c:pt idx="1">
                  <c:v>4485.1254574943423</c:v>
                </c:pt>
                <c:pt idx="2">
                  <c:v>151.90903882636488</c:v>
                </c:pt>
                <c:pt idx="3">
                  <c:v>10974.53004977682</c:v>
                </c:pt>
                <c:pt idx="4">
                  <c:v>15807.888832378112</c:v>
                </c:pt>
                <c:pt idx="5">
                  <c:v>13931.042780259535</c:v>
                </c:pt>
                <c:pt idx="6">
                  <c:v>245.83373426736125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13568.385921471983</c:v>
                </c:pt>
                <c:pt idx="1">
                  <c:v>4485.1254574943423</c:v>
                </c:pt>
                <c:pt idx="2">
                  <c:v>151.90903882636488</c:v>
                </c:pt>
                <c:pt idx="3">
                  <c:v>10974.53004977682</c:v>
                </c:pt>
                <c:pt idx="4">
                  <c:v>15807.888832378112</c:v>
                </c:pt>
                <c:pt idx="5">
                  <c:v>13931.042780259535</c:v>
                </c:pt>
                <c:pt idx="6">
                  <c:v>245.83373426736125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33040</v>
      </c>
      <c r="B6" s="386"/>
      <c r="C6" s="387"/>
    </row>
    <row r="7" spans="1:7" s="384" customFormat="1" ht="15.75" customHeight="1">
      <c r="A7" s="388" t="str">
        <f>txtMunicipality</f>
        <v>LANGEMARK-POELKAPELLE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10295.376552344656</v>
      </c>
      <c r="D10" s="682">
        <f ca="1">tertiair!C16</f>
        <v>0</v>
      </c>
      <c r="E10" s="682">
        <f ca="1">tertiair!D16</f>
        <v>10503.26782579702</v>
      </c>
      <c r="F10" s="682">
        <f>tertiair!E16</f>
        <v>22.533677340788504</v>
      </c>
      <c r="G10" s="682">
        <f ca="1">tertiair!F16</f>
        <v>1253.6099915819102</v>
      </c>
      <c r="H10" s="682">
        <f>tertiair!G16</f>
        <v>0</v>
      </c>
      <c r="I10" s="682">
        <f>tertiair!H16</f>
        <v>0</v>
      </c>
      <c r="J10" s="682">
        <f>tertiair!I16</f>
        <v>0</v>
      </c>
      <c r="K10" s="682">
        <f>tertiair!J16</f>
        <v>7.2112255617600759E-3</v>
      </c>
      <c r="L10" s="682">
        <f>tertiair!K16</f>
        <v>0</v>
      </c>
      <c r="M10" s="682">
        <f ca="1">tertiair!L16</f>
        <v>0</v>
      </c>
      <c r="N10" s="682">
        <f>tertiair!M16</f>
        <v>0</v>
      </c>
      <c r="O10" s="682">
        <f ca="1">tertiair!N16</f>
        <v>265.21342007192118</v>
      </c>
      <c r="P10" s="682">
        <f>tertiair!O16</f>
        <v>4.8972607658411542</v>
      </c>
      <c r="Q10" s="683">
        <f>tertiair!P16</f>
        <v>52.539138306495019</v>
      </c>
      <c r="R10" s="685">
        <f ca="1">SUM(C10:Q10)</f>
        <v>22397.445077434193</v>
      </c>
      <c r="S10" s="67"/>
    </row>
    <row r="11" spans="1:19" s="445" customFormat="1">
      <c r="A11" s="803" t="s">
        <v>220</v>
      </c>
      <c r="B11" s="808"/>
      <c r="C11" s="682">
        <f>huishoudens!B8</f>
        <v>13464.659270037339</v>
      </c>
      <c r="D11" s="682">
        <f>huishoudens!C8</f>
        <v>0</v>
      </c>
      <c r="E11" s="682">
        <f>huishoudens!D8</f>
        <v>19575.525542062041</v>
      </c>
      <c r="F11" s="682">
        <f>huishoudens!E8</f>
        <v>1069.0234769280632</v>
      </c>
      <c r="G11" s="682">
        <f>huishoudens!F8</f>
        <v>24281.671619505196</v>
      </c>
      <c r="H11" s="682">
        <f>huishoudens!G8</f>
        <v>0</v>
      </c>
      <c r="I11" s="682">
        <f>huishoudens!H8</f>
        <v>0</v>
      </c>
      <c r="J11" s="682">
        <f>huishoudens!I8</f>
        <v>0</v>
      </c>
      <c r="K11" s="682">
        <f>huishoudens!J8</f>
        <v>121.47710632401476</v>
      </c>
      <c r="L11" s="682">
        <f>huishoudens!K8</f>
        <v>0</v>
      </c>
      <c r="M11" s="682">
        <f>huishoudens!L8</f>
        <v>0</v>
      </c>
      <c r="N11" s="682">
        <f>huishoudens!M8</f>
        <v>0</v>
      </c>
      <c r="O11" s="682">
        <f>huishoudens!N8</f>
        <v>4614.9807757866729</v>
      </c>
      <c r="P11" s="682">
        <f>huishoudens!O8</f>
        <v>343.22477195395646</v>
      </c>
      <c r="Q11" s="683">
        <f>huishoudens!P8</f>
        <v>189.61126753833042</v>
      </c>
      <c r="R11" s="685">
        <f>SUM(C11:Q11)</f>
        <v>63660.173830135624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54770.739303006696</v>
      </c>
      <c r="D13" s="682">
        <f>industrie!C18</f>
        <v>0</v>
      </c>
      <c r="E13" s="682">
        <f>industrie!D18</f>
        <v>19223.269213549745</v>
      </c>
      <c r="F13" s="682">
        <f>industrie!E18</f>
        <v>90.471128709707642</v>
      </c>
      <c r="G13" s="682">
        <f>industrie!F18</f>
        <v>1237.4500071246314</v>
      </c>
      <c r="H13" s="682">
        <f>industrie!G18</f>
        <v>0</v>
      </c>
      <c r="I13" s="682">
        <f>industrie!H18</f>
        <v>0</v>
      </c>
      <c r="J13" s="682">
        <f>industrie!I18</f>
        <v>0</v>
      </c>
      <c r="K13" s="682">
        <f>industrie!J18</f>
        <v>0.29604088165529419</v>
      </c>
      <c r="L13" s="682">
        <f>industrie!K18</f>
        <v>0</v>
      </c>
      <c r="M13" s="682">
        <f>industrie!L18</f>
        <v>0</v>
      </c>
      <c r="N13" s="682">
        <f>industrie!M18</f>
        <v>0</v>
      </c>
      <c r="O13" s="682">
        <f>industrie!N18</f>
        <v>1731.5329629358482</v>
      </c>
      <c r="P13" s="682">
        <f>industrie!O18</f>
        <v>0</v>
      </c>
      <c r="Q13" s="683">
        <f>industrie!P18</f>
        <v>0</v>
      </c>
      <c r="R13" s="685">
        <f>SUM(C13:Q13)</f>
        <v>77053.758656208272</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78530.775125388696</v>
      </c>
      <c r="D16" s="718">
        <f t="shared" ref="D16:R16" ca="1" si="0">SUM(D9:D15)</f>
        <v>0</v>
      </c>
      <c r="E16" s="718">
        <f t="shared" ca="1" si="0"/>
        <v>49302.062581408813</v>
      </c>
      <c r="F16" s="718">
        <f t="shared" si="0"/>
        <v>1182.0282829785594</v>
      </c>
      <c r="G16" s="718">
        <f t="shared" ca="1" si="0"/>
        <v>26772.731618211739</v>
      </c>
      <c r="H16" s="718">
        <f t="shared" si="0"/>
        <v>0</v>
      </c>
      <c r="I16" s="718">
        <f t="shared" si="0"/>
        <v>0</v>
      </c>
      <c r="J16" s="718">
        <f t="shared" si="0"/>
        <v>0</v>
      </c>
      <c r="K16" s="718">
        <f t="shared" si="0"/>
        <v>121.7803584312318</v>
      </c>
      <c r="L16" s="718">
        <f t="shared" si="0"/>
        <v>0</v>
      </c>
      <c r="M16" s="718">
        <f t="shared" ca="1" si="0"/>
        <v>0</v>
      </c>
      <c r="N16" s="718">
        <f t="shared" si="0"/>
        <v>0</v>
      </c>
      <c r="O16" s="718">
        <f t="shared" ca="1" si="0"/>
        <v>6611.7271587944424</v>
      </c>
      <c r="P16" s="718">
        <f t="shared" si="0"/>
        <v>348.12203271979763</v>
      </c>
      <c r="Q16" s="718">
        <f t="shared" si="0"/>
        <v>242.15040584482546</v>
      </c>
      <c r="R16" s="718">
        <f t="shared" ca="1" si="0"/>
        <v>163111.37756377808</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12.757798450604477</v>
      </c>
      <c r="D19" s="682">
        <f>transport!C54</f>
        <v>0</v>
      </c>
      <c r="E19" s="682">
        <f>transport!D54</f>
        <v>0</v>
      </c>
      <c r="F19" s="682">
        <f>transport!E54</f>
        <v>0</v>
      </c>
      <c r="G19" s="682">
        <f>transport!F54</f>
        <v>0</v>
      </c>
      <c r="H19" s="682">
        <f>transport!G54</f>
        <v>910.62865413197721</v>
      </c>
      <c r="I19" s="682">
        <f>transport!H54</f>
        <v>0</v>
      </c>
      <c r="J19" s="682">
        <f>transport!I54</f>
        <v>0</v>
      </c>
      <c r="K19" s="682">
        <f>transport!J54</f>
        <v>0</v>
      </c>
      <c r="L19" s="682">
        <f>transport!K54</f>
        <v>0</v>
      </c>
      <c r="M19" s="682">
        <f>transport!L54</f>
        <v>0</v>
      </c>
      <c r="N19" s="682">
        <f>transport!M54</f>
        <v>50.283633798433819</v>
      </c>
      <c r="O19" s="682">
        <f>transport!N54</f>
        <v>0</v>
      </c>
      <c r="P19" s="682">
        <f>transport!O54</f>
        <v>0</v>
      </c>
      <c r="Q19" s="683">
        <f>transport!P54</f>
        <v>0</v>
      </c>
      <c r="R19" s="685">
        <f>SUM(C19:Q19)</f>
        <v>973.67008638101549</v>
      </c>
      <c r="S19" s="67"/>
    </row>
    <row r="20" spans="1:19" s="445" customFormat="1">
      <c r="A20" s="803" t="s">
        <v>302</v>
      </c>
      <c r="B20" s="808"/>
      <c r="C20" s="682">
        <f>transport!B14</f>
        <v>91.800027229864028</v>
      </c>
      <c r="D20" s="682">
        <f>transport!C14</f>
        <v>0</v>
      </c>
      <c r="E20" s="682">
        <f>transport!D14</f>
        <v>179.56422934964408</v>
      </c>
      <c r="F20" s="682">
        <f>transport!E14</f>
        <v>97.996809679480322</v>
      </c>
      <c r="G20" s="682">
        <f>transport!F14</f>
        <v>0</v>
      </c>
      <c r="H20" s="682">
        <f>transport!G14</f>
        <v>41739.476521459328</v>
      </c>
      <c r="I20" s="682">
        <f>transport!H14</f>
        <v>10878.26022524837</v>
      </c>
      <c r="J20" s="682">
        <f>transport!I14</f>
        <v>0</v>
      </c>
      <c r="K20" s="682">
        <f>transport!J14</f>
        <v>0</v>
      </c>
      <c r="L20" s="682">
        <f>transport!K14</f>
        <v>0</v>
      </c>
      <c r="M20" s="682">
        <f>transport!L14</f>
        <v>0</v>
      </c>
      <c r="N20" s="682">
        <f>transport!M14</f>
        <v>3106.210048274595</v>
      </c>
      <c r="O20" s="682">
        <f>transport!N14</f>
        <v>0</v>
      </c>
      <c r="P20" s="682">
        <f>transport!O14</f>
        <v>0</v>
      </c>
      <c r="Q20" s="683">
        <f>transport!P14</f>
        <v>0</v>
      </c>
      <c r="R20" s="685">
        <f>SUM(C20:Q20)</f>
        <v>56093.307861241279</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104.55782568046851</v>
      </c>
      <c r="D22" s="806">
        <f t="shared" ref="D22:R22" si="1">SUM(D18:D21)</f>
        <v>0</v>
      </c>
      <c r="E22" s="806">
        <f t="shared" si="1"/>
        <v>179.56422934964408</v>
      </c>
      <c r="F22" s="806">
        <f t="shared" si="1"/>
        <v>97.996809679480322</v>
      </c>
      <c r="G22" s="806">
        <f t="shared" si="1"/>
        <v>0</v>
      </c>
      <c r="H22" s="806">
        <f t="shared" si="1"/>
        <v>42650.105175591307</v>
      </c>
      <c r="I22" s="806">
        <f t="shared" si="1"/>
        <v>10878.26022524837</v>
      </c>
      <c r="J22" s="806">
        <f t="shared" si="1"/>
        <v>0</v>
      </c>
      <c r="K22" s="806">
        <f t="shared" si="1"/>
        <v>0</v>
      </c>
      <c r="L22" s="806">
        <f t="shared" si="1"/>
        <v>0</v>
      </c>
      <c r="M22" s="806">
        <f t="shared" si="1"/>
        <v>0</v>
      </c>
      <c r="N22" s="806">
        <f t="shared" si="1"/>
        <v>3156.493682073029</v>
      </c>
      <c r="O22" s="806">
        <f t="shared" si="1"/>
        <v>0</v>
      </c>
      <c r="P22" s="806">
        <f t="shared" si="1"/>
        <v>0</v>
      </c>
      <c r="Q22" s="806">
        <f t="shared" si="1"/>
        <v>0</v>
      </c>
      <c r="R22" s="806">
        <f t="shared" si="1"/>
        <v>57066.977947622298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4795.9434322859806</v>
      </c>
      <c r="D24" s="682">
        <f>+landbouw!C8</f>
        <v>22387.5</v>
      </c>
      <c r="E24" s="682">
        <f>+landbouw!D8</f>
        <v>0</v>
      </c>
      <c r="F24" s="682">
        <f>+landbouw!E8</f>
        <v>178.85540033442589</v>
      </c>
      <c r="G24" s="682">
        <f>+landbouw!F8</f>
        <v>15559.893719826583</v>
      </c>
      <c r="H24" s="682">
        <f>+landbouw!G8</f>
        <v>0</v>
      </c>
      <c r="I24" s="682">
        <f>+landbouw!H8</f>
        <v>0</v>
      </c>
      <c r="J24" s="682">
        <f>+landbouw!I8</f>
        <v>0</v>
      </c>
      <c r="K24" s="682">
        <f>+landbouw!J8</f>
        <v>1258.9588281024128</v>
      </c>
      <c r="L24" s="682">
        <f>+landbouw!K8</f>
        <v>0</v>
      </c>
      <c r="M24" s="682">
        <f>+landbouw!L8</f>
        <v>0</v>
      </c>
      <c r="N24" s="682">
        <f>+landbouw!M8</f>
        <v>0</v>
      </c>
      <c r="O24" s="682">
        <f>+landbouw!N8</f>
        <v>0</v>
      </c>
      <c r="P24" s="682">
        <f>+landbouw!O8</f>
        <v>0</v>
      </c>
      <c r="Q24" s="683">
        <f>+landbouw!P8</f>
        <v>0</v>
      </c>
      <c r="R24" s="685">
        <f>SUM(C24:Q24)</f>
        <v>44181.151380549403</v>
      </c>
      <c r="S24" s="67"/>
    </row>
    <row r="25" spans="1:19" s="445" customFormat="1" ht="15" thickBot="1">
      <c r="A25" s="825" t="s">
        <v>703</v>
      </c>
      <c r="B25" s="938"/>
      <c r="C25" s="939">
        <f>IF(Onbekend_ele_kWh="---",0,Onbekend_ele_kWh)/1000+IF(REST_rest_ele_kWh="---",0,REST_rest_ele_kWh)/1000</f>
        <v>279.83304548815801</v>
      </c>
      <c r="D25" s="939"/>
      <c r="E25" s="939">
        <f>IF(onbekend_gas_kWh="---",0,onbekend_gas_kWh)/1000+IF(REST_rest_gas_kWh="---",0,REST_rest_gas_kWh)/1000</f>
        <v>373.58243649778001</v>
      </c>
      <c r="F25" s="939"/>
      <c r="G25" s="939"/>
      <c r="H25" s="939"/>
      <c r="I25" s="939"/>
      <c r="J25" s="939"/>
      <c r="K25" s="939"/>
      <c r="L25" s="939"/>
      <c r="M25" s="939"/>
      <c r="N25" s="939"/>
      <c r="O25" s="939"/>
      <c r="P25" s="939"/>
      <c r="Q25" s="940"/>
      <c r="R25" s="685">
        <f>SUM(C25:Q25)</f>
        <v>653.41548198593796</v>
      </c>
      <c r="S25" s="67"/>
    </row>
    <row r="26" spans="1:19" s="445" customFormat="1" ht="15.75" thickBot="1">
      <c r="A26" s="690" t="s">
        <v>704</v>
      </c>
      <c r="B26" s="811"/>
      <c r="C26" s="806">
        <f>SUM(C24:C25)</f>
        <v>5075.7764777741386</v>
      </c>
      <c r="D26" s="806">
        <f t="shared" ref="D26:R26" si="2">SUM(D24:D25)</f>
        <v>22387.5</v>
      </c>
      <c r="E26" s="806">
        <f t="shared" si="2"/>
        <v>373.58243649778001</v>
      </c>
      <c r="F26" s="806">
        <f t="shared" si="2"/>
        <v>178.85540033442589</v>
      </c>
      <c r="G26" s="806">
        <f t="shared" si="2"/>
        <v>15559.893719826583</v>
      </c>
      <c r="H26" s="806">
        <f t="shared" si="2"/>
        <v>0</v>
      </c>
      <c r="I26" s="806">
        <f t="shared" si="2"/>
        <v>0</v>
      </c>
      <c r="J26" s="806">
        <f t="shared" si="2"/>
        <v>0</v>
      </c>
      <c r="K26" s="806">
        <f t="shared" si="2"/>
        <v>1258.9588281024128</v>
      </c>
      <c r="L26" s="806">
        <f t="shared" si="2"/>
        <v>0</v>
      </c>
      <c r="M26" s="806">
        <f t="shared" si="2"/>
        <v>0</v>
      </c>
      <c r="N26" s="806">
        <f t="shared" si="2"/>
        <v>0</v>
      </c>
      <c r="O26" s="806">
        <f t="shared" si="2"/>
        <v>0</v>
      </c>
      <c r="P26" s="806">
        <f t="shared" si="2"/>
        <v>0</v>
      </c>
      <c r="Q26" s="806">
        <f t="shared" si="2"/>
        <v>0</v>
      </c>
      <c r="R26" s="806">
        <f t="shared" si="2"/>
        <v>44834.566862535343</v>
      </c>
      <c r="S26" s="67"/>
    </row>
    <row r="27" spans="1:19" s="445" customFormat="1" ht="17.25" thickTop="1" thickBot="1">
      <c r="A27" s="691" t="s">
        <v>115</v>
      </c>
      <c r="B27" s="798"/>
      <c r="C27" s="692">
        <f ca="1">C22+C16+C26</f>
        <v>83711.109428843309</v>
      </c>
      <c r="D27" s="692">
        <f t="shared" ref="D27:R27" ca="1" si="3">D22+D16+D26</f>
        <v>22387.5</v>
      </c>
      <c r="E27" s="692">
        <f t="shared" ca="1" si="3"/>
        <v>49855.209247256236</v>
      </c>
      <c r="F27" s="692">
        <f t="shared" si="3"/>
        <v>1458.8804929924656</v>
      </c>
      <c r="G27" s="692">
        <f t="shared" ca="1" si="3"/>
        <v>42332.62533803832</v>
      </c>
      <c r="H27" s="692">
        <f t="shared" si="3"/>
        <v>42650.105175591307</v>
      </c>
      <c r="I27" s="692">
        <f t="shared" si="3"/>
        <v>10878.26022524837</v>
      </c>
      <c r="J27" s="692">
        <f t="shared" si="3"/>
        <v>0</v>
      </c>
      <c r="K27" s="692">
        <f t="shared" si="3"/>
        <v>1380.7391865336447</v>
      </c>
      <c r="L27" s="692">
        <f t="shared" si="3"/>
        <v>0</v>
      </c>
      <c r="M27" s="692">
        <f t="shared" ca="1" si="3"/>
        <v>0</v>
      </c>
      <c r="N27" s="692">
        <f t="shared" si="3"/>
        <v>3156.493682073029</v>
      </c>
      <c r="O27" s="692">
        <f t="shared" ca="1" si="3"/>
        <v>6611.7271587944424</v>
      </c>
      <c r="P27" s="692">
        <f t="shared" si="3"/>
        <v>348.12203271979763</v>
      </c>
      <c r="Q27" s="692">
        <f t="shared" si="3"/>
        <v>242.15040584482546</v>
      </c>
      <c r="R27" s="692">
        <f t="shared" ca="1" si="3"/>
        <v>265012.9223739357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2175.5428302271316</v>
      </c>
      <c r="D40" s="682">
        <f ca="1">tertiair!C20</f>
        <v>0</v>
      </c>
      <c r="E40" s="682">
        <f ca="1">tertiair!D20</f>
        <v>2121.6601008109983</v>
      </c>
      <c r="F40" s="682">
        <f>tertiair!E20</f>
        <v>5.1151447563589905</v>
      </c>
      <c r="G40" s="682">
        <f ca="1">tertiair!F20</f>
        <v>334.71386775237005</v>
      </c>
      <c r="H40" s="682">
        <f>tertiair!G20</f>
        <v>0</v>
      </c>
      <c r="I40" s="682">
        <f>tertiair!H20</f>
        <v>0</v>
      </c>
      <c r="J40" s="682">
        <f>tertiair!I20</f>
        <v>0</v>
      </c>
      <c r="K40" s="682">
        <f>tertiair!J20</f>
        <v>2.5527738488630666E-3</v>
      </c>
      <c r="L40" s="682">
        <f>tertiair!K20</f>
        <v>0</v>
      </c>
      <c r="M40" s="682">
        <f ca="1">tertiair!L20</f>
        <v>0</v>
      </c>
      <c r="N40" s="682">
        <f>tertiair!M20</f>
        <v>0</v>
      </c>
      <c r="O40" s="682">
        <f ca="1">tertiair!N20</f>
        <v>0</v>
      </c>
      <c r="P40" s="682">
        <f>tertiair!O20</f>
        <v>0</v>
      </c>
      <c r="Q40" s="765">
        <f>tertiair!P20</f>
        <v>0</v>
      </c>
      <c r="R40" s="844">
        <f t="shared" ca="1" si="4"/>
        <v>4637.0344963207071</v>
      </c>
    </row>
    <row r="41" spans="1:18">
      <c r="A41" s="816" t="s">
        <v>220</v>
      </c>
      <c r="B41" s="823"/>
      <c r="C41" s="682">
        <f ca="1">huishoudens!B12</f>
        <v>2845.2522146661913</v>
      </c>
      <c r="D41" s="682">
        <f ca="1">huishoudens!C12</f>
        <v>0</v>
      </c>
      <c r="E41" s="682">
        <f>huishoudens!D12</f>
        <v>3954.2561594965327</v>
      </c>
      <c r="F41" s="682">
        <f>huishoudens!E12</f>
        <v>242.66832926267037</v>
      </c>
      <c r="G41" s="682">
        <f>huishoudens!F12</f>
        <v>6483.2063224078875</v>
      </c>
      <c r="H41" s="682">
        <f>huishoudens!G12</f>
        <v>0</v>
      </c>
      <c r="I41" s="682">
        <f>huishoudens!H12</f>
        <v>0</v>
      </c>
      <c r="J41" s="682">
        <f>huishoudens!I12</f>
        <v>0</v>
      </c>
      <c r="K41" s="682">
        <f>huishoudens!J12</f>
        <v>43.002895638701219</v>
      </c>
      <c r="L41" s="682">
        <f>huishoudens!K12</f>
        <v>0</v>
      </c>
      <c r="M41" s="682">
        <f>huishoudens!L12</f>
        <v>0</v>
      </c>
      <c r="N41" s="682">
        <f>huishoudens!M12</f>
        <v>0</v>
      </c>
      <c r="O41" s="682">
        <f>huishoudens!N12</f>
        <v>0</v>
      </c>
      <c r="P41" s="682">
        <f>huishoudens!O12</f>
        <v>0</v>
      </c>
      <c r="Q41" s="765">
        <f>huishoudens!P12</f>
        <v>0</v>
      </c>
      <c r="R41" s="844">
        <f t="shared" ca="1" si="4"/>
        <v>13568.385921471983</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11573.747554649577</v>
      </c>
      <c r="D43" s="682">
        <f ca="1">industrie!C22</f>
        <v>0</v>
      </c>
      <c r="E43" s="682">
        <f>industrie!D22</f>
        <v>3883.1003811370488</v>
      </c>
      <c r="F43" s="682">
        <f>industrie!E22</f>
        <v>20.536946217103637</v>
      </c>
      <c r="G43" s="682">
        <f>industrie!F22</f>
        <v>330.39915190227657</v>
      </c>
      <c r="H43" s="682">
        <f>industrie!G22</f>
        <v>0</v>
      </c>
      <c r="I43" s="682">
        <f>industrie!H22</f>
        <v>0</v>
      </c>
      <c r="J43" s="682">
        <f>industrie!I22</f>
        <v>0</v>
      </c>
      <c r="K43" s="682">
        <f>industrie!J22</f>
        <v>0.10479847210597414</v>
      </c>
      <c r="L43" s="682">
        <f>industrie!K22</f>
        <v>0</v>
      </c>
      <c r="M43" s="682">
        <f>industrie!L22</f>
        <v>0</v>
      </c>
      <c r="N43" s="682">
        <f>industrie!M22</f>
        <v>0</v>
      </c>
      <c r="O43" s="682">
        <f>industrie!N22</f>
        <v>0</v>
      </c>
      <c r="P43" s="682">
        <f>industrie!O22</f>
        <v>0</v>
      </c>
      <c r="Q43" s="765">
        <f>industrie!P22</f>
        <v>0</v>
      </c>
      <c r="R43" s="843">
        <f t="shared" ca="1" si="4"/>
        <v>15807.888832378112</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16594.5425995429</v>
      </c>
      <c r="D46" s="718">
        <f t="shared" ref="D46:Q46" ca="1" si="5">SUM(D39:D45)</f>
        <v>0</v>
      </c>
      <c r="E46" s="718">
        <f t="shared" ca="1" si="5"/>
        <v>9959.0166414445794</v>
      </c>
      <c r="F46" s="718">
        <f t="shared" si="5"/>
        <v>268.32042023613303</v>
      </c>
      <c r="G46" s="718">
        <f t="shared" ca="1" si="5"/>
        <v>7148.3193420625339</v>
      </c>
      <c r="H46" s="718">
        <f t="shared" si="5"/>
        <v>0</v>
      </c>
      <c r="I46" s="718">
        <f t="shared" si="5"/>
        <v>0</v>
      </c>
      <c r="J46" s="718">
        <f t="shared" si="5"/>
        <v>0</v>
      </c>
      <c r="K46" s="718">
        <f t="shared" si="5"/>
        <v>43.110246884656057</v>
      </c>
      <c r="L46" s="718">
        <f t="shared" si="5"/>
        <v>0</v>
      </c>
      <c r="M46" s="718">
        <f t="shared" ca="1" si="5"/>
        <v>0</v>
      </c>
      <c r="N46" s="718">
        <f t="shared" si="5"/>
        <v>0</v>
      </c>
      <c r="O46" s="718">
        <f t="shared" ca="1" si="5"/>
        <v>0</v>
      </c>
      <c r="P46" s="718">
        <f t="shared" si="5"/>
        <v>0</v>
      </c>
      <c r="Q46" s="718">
        <f t="shared" si="5"/>
        <v>0</v>
      </c>
      <c r="R46" s="718">
        <f ca="1">SUM(R39:R45)</f>
        <v>34013.309250170802</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2.6958836141233178</v>
      </c>
      <c r="D49" s="682">
        <f ca="1">transport!C58</f>
        <v>0</v>
      </c>
      <c r="E49" s="682">
        <f>transport!D58</f>
        <v>0</v>
      </c>
      <c r="F49" s="682">
        <f>transport!E58</f>
        <v>0</v>
      </c>
      <c r="G49" s="682">
        <f>transport!F58</f>
        <v>0</v>
      </c>
      <c r="H49" s="682">
        <f>transport!G58</f>
        <v>243.13785065323793</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245.83373426736125</v>
      </c>
    </row>
    <row r="50" spans="1:18">
      <c r="A50" s="819" t="s">
        <v>302</v>
      </c>
      <c r="B50" s="829"/>
      <c r="C50" s="688">
        <f ca="1">transport!B18</f>
        <v>19.398502817179939</v>
      </c>
      <c r="D50" s="688">
        <f>transport!C18</f>
        <v>0</v>
      </c>
      <c r="E50" s="688">
        <f>transport!D18</f>
        <v>36.271974328628104</v>
      </c>
      <c r="F50" s="688">
        <f>transport!E18</f>
        <v>22.245275797242034</v>
      </c>
      <c r="G50" s="688">
        <f>transport!F18</f>
        <v>0</v>
      </c>
      <c r="H50" s="688">
        <f>transport!G18</f>
        <v>11144.440231229641</v>
      </c>
      <c r="I50" s="688">
        <f>transport!H18</f>
        <v>2708.686796086844</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13931.042780259535</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22.094386431303256</v>
      </c>
      <c r="D52" s="718">
        <f t="shared" ref="D52:Q52" ca="1" si="6">SUM(D48:D51)</f>
        <v>0</v>
      </c>
      <c r="E52" s="718">
        <f t="shared" si="6"/>
        <v>36.271974328628104</v>
      </c>
      <c r="F52" s="718">
        <f t="shared" si="6"/>
        <v>22.245275797242034</v>
      </c>
      <c r="G52" s="718">
        <f t="shared" si="6"/>
        <v>0</v>
      </c>
      <c r="H52" s="718">
        <f t="shared" si="6"/>
        <v>11387.578081882879</v>
      </c>
      <c r="I52" s="718">
        <f t="shared" si="6"/>
        <v>2708.686796086844</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14176.876514526895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1013.4432961471903</v>
      </c>
      <c r="D54" s="688">
        <f ca="1">+landbouw!C12</f>
        <v>5320.3235294117649</v>
      </c>
      <c r="E54" s="688">
        <f>+landbouw!D12</f>
        <v>0</v>
      </c>
      <c r="F54" s="688">
        <f>+landbouw!E12</f>
        <v>40.60017587591468</v>
      </c>
      <c r="G54" s="688">
        <f>+landbouw!F12</f>
        <v>4154.4916231936977</v>
      </c>
      <c r="H54" s="688">
        <f>+landbouw!G12</f>
        <v>0</v>
      </c>
      <c r="I54" s="688">
        <f>+landbouw!H12</f>
        <v>0</v>
      </c>
      <c r="J54" s="688">
        <f>+landbouw!I12</f>
        <v>0</v>
      </c>
      <c r="K54" s="688">
        <f>+landbouw!J12</f>
        <v>445.67142514825412</v>
      </c>
      <c r="L54" s="688">
        <f>+landbouw!K12</f>
        <v>0</v>
      </c>
      <c r="M54" s="688">
        <f>+landbouw!L12</f>
        <v>0</v>
      </c>
      <c r="N54" s="688">
        <f>+landbouw!M12</f>
        <v>0</v>
      </c>
      <c r="O54" s="688">
        <f>+landbouw!N12</f>
        <v>0</v>
      </c>
      <c r="P54" s="688">
        <f>+landbouw!O12</f>
        <v>0</v>
      </c>
      <c r="Q54" s="689">
        <f>+landbouw!P12</f>
        <v>0</v>
      </c>
      <c r="R54" s="717">
        <f ca="1">SUM(C54:Q54)</f>
        <v>10974.53004977682</v>
      </c>
    </row>
    <row r="55" spans="1:18" ht="15" thickBot="1">
      <c r="A55" s="819" t="s">
        <v>703</v>
      </c>
      <c r="B55" s="829"/>
      <c r="C55" s="688">
        <f ca="1">C25*'EF ele_warmte'!B12</f>
        <v>59.132249576023526</v>
      </c>
      <c r="D55" s="688"/>
      <c r="E55" s="688">
        <f>E25*EF_CO2_aardgas</f>
        <v>75.463652172551562</v>
      </c>
      <c r="F55" s="688"/>
      <c r="G55" s="688"/>
      <c r="H55" s="688"/>
      <c r="I55" s="688"/>
      <c r="J55" s="688"/>
      <c r="K55" s="688"/>
      <c r="L55" s="688"/>
      <c r="M55" s="688"/>
      <c r="N55" s="688"/>
      <c r="O55" s="688"/>
      <c r="P55" s="688"/>
      <c r="Q55" s="689"/>
      <c r="R55" s="717">
        <f ca="1">SUM(C55:Q55)</f>
        <v>134.5959017485751</v>
      </c>
    </row>
    <row r="56" spans="1:18" ht="15.75" thickBot="1">
      <c r="A56" s="817" t="s">
        <v>704</v>
      </c>
      <c r="B56" s="830"/>
      <c r="C56" s="718">
        <f ca="1">SUM(C54:C55)</f>
        <v>1072.5755457232137</v>
      </c>
      <c r="D56" s="718">
        <f t="shared" ref="D56:Q56" ca="1" si="7">SUM(D54:D55)</f>
        <v>5320.3235294117649</v>
      </c>
      <c r="E56" s="718">
        <f t="shared" si="7"/>
        <v>75.463652172551562</v>
      </c>
      <c r="F56" s="718">
        <f t="shared" si="7"/>
        <v>40.60017587591468</v>
      </c>
      <c r="G56" s="718">
        <f t="shared" si="7"/>
        <v>4154.4916231936977</v>
      </c>
      <c r="H56" s="718">
        <f t="shared" si="7"/>
        <v>0</v>
      </c>
      <c r="I56" s="718">
        <f t="shared" si="7"/>
        <v>0</v>
      </c>
      <c r="J56" s="718">
        <f t="shared" si="7"/>
        <v>0</v>
      </c>
      <c r="K56" s="718">
        <f t="shared" si="7"/>
        <v>445.67142514825412</v>
      </c>
      <c r="L56" s="718">
        <f t="shared" si="7"/>
        <v>0</v>
      </c>
      <c r="M56" s="718">
        <f t="shared" si="7"/>
        <v>0</v>
      </c>
      <c r="N56" s="718">
        <f t="shared" si="7"/>
        <v>0</v>
      </c>
      <c r="O56" s="718">
        <f t="shared" si="7"/>
        <v>0</v>
      </c>
      <c r="P56" s="718">
        <f t="shared" si="7"/>
        <v>0</v>
      </c>
      <c r="Q56" s="719">
        <f t="shared" si="7"/>
        <v>0</v>
      </c>
      <c r="R56" s="720">
        <f ca="1">SUM(R54:R55)</f>
        <v>11109.125951525395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17689.21253169742</v>
      </c>
      <c r="D61" s="726">
        <f t="shared" ref="D61:Q61" ca="1" si="8">D46+D52+D56</f>
        <v>5320.3235294117649</v>
      </c>
      <c r="E61" s="726">
        <f t="shared" ca="1" si="8"/>
        <v>10070.75226794576</v>
      </c>
      <c r="F61" s="726">
        <f t="shared" si="8"/>
        <v>331.16587190928971</v>
      </c>
      <c r="G61" s="726">
        <f t="shared" ca="1" si="8"/>
        <v>11302.810965256231</v>
      </c>
      <c r="H61" s="726">
        <f t="shared" si="8"/>
        <v>11387.578081882879</v>
      </c>
      <c r="I61" s="726">
        <f t="shared" si="8"/>
        <v>2708.686796086844</v>
      </c>
      <c r="J61" s="726">
        <f t="shared" si="8"/>
        <v>0</v>
      </c>
      <c r="K61" s="726">
        <f t="shared" si="8"/>
        <v>488.78167203291019</v>
      </c>
      <c r="L61" s="726">
        <f t="shared" si="8"/>
        <v>0</v>
      </c>
      <c r="M61" s="726">
        <f t="shared" ca="1" si="8"/>
        <v>0</v>
      </c>
      <c r="N61" s="726">
        <f t="shared" si="8"/>
        <v>0</v>
      </c>
      <c r="O61" s="726">
        <f t="shared" ca="1" si="8"/>
        <v>0</v>
      </c>
      <c r="P61" s="726">
        <f t="shared" si="8"/>
        <v>0</v>
      </c>
      <c r="Q61" s="726">
        <f t="shared" si="8"/>
        <v>0</v>
      </c>
      <c r="R61" s="726">
        <f ca="1">R46+R52+R56</f>
        <v>59299.311716223092</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0.21131260417392658</v>
      </c>
      <c r="D63" s="772">
        <f t="shared" ca="1" si="9"/>
        <v>0.23764705882352941</v>
      </c>
      <c r="E63" s="964">
        <f t="shared" ca="1" si="9"/>
        <v>0.20200000000000001</v>
      </c>
      <c r="F63" s="772">
        <f t="shared" si="9"/>
        <v>0.22700000000000001</v>
      </c>
      <c r="G63" s="772">
        <f t="shared" ca="1" si="9"/>
        <v>0.26699999999999996</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4849.8772518786691</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15671.25</v>
      </c>
      <c r="D76" s="947">
        <f>'lokale energieproductie'!C8</f>
        <v>18436.764705882353</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3724.2264705882358</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4849.8772518786691</v>
      </c>
      <c r="C78" s="744">
        <f>SUM(C72:C77)</f>
        <v>15671.25</v>
      </c>
      <c r="D78" s="745">
        <f t="shared" ref="D78:H78" si="10">SUM(D76:D77)</f>
        <v>18436.764705882353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3724.2264705882358</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22387.5</v>
      </c>
      <c r="D87" s="768">
        <f>'lokale energieproductie'!C17</f>
        <v>26338.235294117647</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5320.3235294117649</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22387.5</v>
      </c>
      <c r="D90" s="744">
        <f t="shared" ref="D90:H90" si="12">SUM(D87:D89)</f>
        <v>26338.235294117647</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5320.3235294117649</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13464.659270037339</v>
      </c>
      <c r="C4" s="449">
        <f>huishoudens!C8</f>
        <v>0</v>
      </c>
      <c r="D4" s="449">
        <f>huishoudens!D8</f>
        <v>19575.525542062041</v>
      </c>
      <c r="E4" s="449">
        <f>huishoudens!E8</f>
        <v>1069.0234769280632</v>
      </c>
      <c r="F4" s="449">
        <f>huishoudens!F8</f>
        <v>24281.671619505196</v>
      </c>
      <c r="G4" s="449">
        <f>huishoudens!G8</f>
        <v>0</v>
      </c>
      <c r="H4" s="449">
        <f>huishoudens!H8</f>
        <v>0</v>
      </c>
      <c r="I4" s="449">
        <f>huishoudens!I8</f>
        <v>0</v>
      </c>
      <c r="J4" s="449">
        <f>huishoudens!J8</f>
        <v>121.47710632401476</v>
      </c>
      <c r="K4" s="449">
        <f>huishoudens!K8</f>
        <v>0</v>
      </c>
      <c r="L4" s="449">
        <f>huishoudens!L8</f>
        <v>0</v>
      </c>
      <c r="M4" s="449">
        <f>huishoudens!M8</f>
        <v>0</v>
      </c>
      <c r="N4" s="449">
        <f>huishoudens!N8</f>
        <v>4614.9807757866729</v>
      </c>
      <c r="O4" s="449">
        <f>huishoudens!O8</f>
        <v>343.22477195395646</v>
      </c>
      <c r="P4" s="450">
        <f>huishoudens!P8</f>
        <v>189.61126753833042</v>
      </c>
      <c r="Q4" s="451">
        <f>SUM(B4:P4)</f>
        <v>63660.173830135624</v>
      </c>
    </row>
    <row r="5" spans="1:17">
      <c r="A5" s="448" t="s">
        <v>155</v>
      </c>
      <c r="B5" s="449">
        <f ca="1">tertiair!B16</f>
        <v>9576.4935523446566</v>
      </c>
      <c r="C5" s="449">
        <f ca="1">tertiair!C16</f>
        <v>0</v>
      </c>
      <c r="D5" s="449">
        <f ca="1">tertiair!D16</f>
        <v>10503.26782579702</v>
      </c>
      <c r="E5" s="449">
        <f>tertiair!E16</f>
        <v>22.533677340788504</v>
      </c>
      <c r="F5" s="449">
        <f ca="1">tertiair!F16</f>
        <v>1253.6099915819102</v>
      </c>
      <c r="G5" s="449">
        <f>tertiair!G16</f>
        <v>0</v>
      </c>
      <c r="H5" s="449">
        <f>tertiair!H16</f>
        <v>0</v>
      </c>
      <c r="I5" s="449">
        <f>tertiair!I16</f>
        <v>0</v>
      </c>
      <c r="J5" s="449">
        <f>tertiair!J16</f>
        <v>7.2112255617600759E-3</v>
      </c>
      <c r="K5" s="449">
        <f>tertiair!K16</f>
        <v>0</v>
      </c>
      <c r="L5" s="449">
        <f ca="1">tertiair!L16</f>
        <v>0</v>
      </c>
      <c r="M5" s="449">
        <f>tertiair!M16</f>
        <v>0</v>
      </c>
      <c r="N5" s="449">
        <f ca="1">tertiair!N16</f>
        <v>265.21342007192118</v>
      </c>
      <c r="O5" s="449">
        <f>tertiair!O16</f>
        <v>4.8972607658411542</v>
      </c>
      <c r="P5" s="450">
        <f>tertiair!P16</f>
        <v>52.539138306495019</v>
      </c>
      <c r="Q5" s="448">
        <f t="shared" ref="Q5:Q14" ca="1" si="0">SUM(B5:P5)</f>
        <v>21678.562077434195</v>
      </c>
    </row>
    <row r="6" spans="1:17">
      <c r="A6" s="448" t="s">
        <v>193</v>
      </c>
      <c r="B6" s="449">
        <f>'openbare verlichting'!B8</f>
        <v>718.88300000000004</v>
      </c>
      <c r="C6" s="449"/>
      <c r="D6" s="449"/>
      <c r="E6" s="449"/>
      <c r="F6" s="449"/>
      <c r="G6" s="449"/>
      <c r="H6" s="449"/>
      <c r="I6" s="449"/>
      <c r="J6" s="449"/>
      <c r="K6" s="449"/>
      <c r="L6" s="449"/>
      <c r="M6" s="449"/>
      <c r="N6" s="449"/>
      <c r="O6" s="449"/>
      <c r="P6" s="450"/>
      <c r="Q6" s="448">
        <f t="shared" si="0"/>
        <v>718.88300000000004</v>
      </c>
    </row>
    <row r="7" spans="1:17">
      <c r="A7" s="448" t="s">
        <v>111</v>
      </c>
      <c r="B7" s="449">
        <f>landbouw!B8</f>
        <v>4795.9434322859806</v>
      </c>
      <c r="C7" s="449">
        <f>landbouw!C8</f>
        <v>22387.5</v>
      </c>
      <c r="D7" s="449">
        <f>landbouw!D8</f>
        <v>0</v>
      </c>
      <c r="E7" s="449">
        <f>landbouw!E8</f>
        <v>178.85540033442589</v>
      </c>
      <c r="F7" s="449">
        <f>landbouw!F8</f>
        <v>15559.893719826583</v>
      </c>
      <c r="G7" s="449">
        <f>landbouw!G8</f>
        <v>0</v>
      </c>
      <c r="H7" s="449">
        <f>landbouw!H8</f>
        <v>0</v>
      </c>
      <c r="I7" s="449">
        <f>landbouw!I8</f>
        <v>0</v>
      </c>
      <c r="J7" s="449">
        <f>landbouw!J8</f>
        <v>1258.9588281024128</v>
      </c>
      <c r="K7" s="449">
        <f>landbouw!K8</f>
        <v>0</v>
      </c>
      <c r="L7" s="449">
        <f>landbouw!L8</f>
        <v>0</v>
      </c>
      <c r="M7" s="449">
        <f>landbouw!M8</f>
        <v>0</v>
      </c>
      <c r="N7" s="449">
        <f>landbouw!N8</f>
        <v>0</v>
      </c>
      <c r="O7" s="449">
        <f>landbouw!O8</f>
        <v>0</v>
      </c>
      <c r="P7" s="450">
        <f>landbouw!P8</f>
        <v>0</v>
      </c>
      <c r="Q7" s="448">
        <f t="shared" si="0"/>
        <v>44181.151380549403</v>
      </c>
    </row>
    <row r="8" spans="1:17">
      <c r="A8" s="448" t="s">
        <v>618</v>
      </c>
      <c r="B8" s="449">
        <f>industrie!B18</f>
        <v>54770.739303006696</v>
      </c>
      <c r="C8" s="449">
        <f>industrie!C18</f>
        <v>0</v>
      </c>
      <c r="D8" s="449">
        <f>industrie!D18</f>
        <v>19223.269213549745</v>
      </c>
      <c r="E8" s="449">
        <f>industrie!E18</f>
        <v>90.471128709707642</v>
      </c>
      <c r="F8" s="449">
        <f>industrie!F18</f>
        <v>1237.4500071246314</v>
      </c>
      <c r="G8" s="449">
        <f>industrie!G18</f>
        <v>0</v>
      </c>
      <c r="H8" s="449">
        <f>industrie!H18</f>
        <v>0</v>
      </c>
      <c r="I8" s="449">
        <f>industrie!I18</f>
        <v>0</v>
      </c>
      <c r="J8" s="449">
        <f>industrie!J18</f>
        <v>0.29604088165529419</v>
      </c>
      <c r="K8" s="449">
        <f>industrie!K18</f>
        <v>0</v>
      </c>
      <c r="L8" s="449">
        <f>industrie!L18</f>
        <v>0</v>
      </c>
      <c r="M8" s="449">
        <f>industrie!M18</f>
        <v>0</v>
      </c>
      <c r="N8" s="449">
        <f>industrie!N18</f>
        <v>1731.5329629358482</v>
      </c>
      <c r="O8" s="449">
        <f>industrie!O18</f>
        <v>0</v>
      </c>
      <c r="P8" s="450">
        <f>industrie!P18</f>
        <v>0</v>
      </c>
      <c r="Q8" s="448">
        <f t="shared" si="0"/>
        <v>77053.758656208272</v>
      </c>
    </row>
    <row r="9" spans="1:17" s="454" customFormat="1">
      <c r="A9" s="452" t="s">
        <v>544</v>
      </c>
      <c r="B9" s="453">
        <f>transport!B14</f>
        <v>91.800027229864028</v>
      </c>
      <c r="C9" s="453">
        <f>transport!C14</f>
        <v>0</v>
      </c>
      <c r="D9" s="453">
        <f>transport!D14</f>
        <v>179.56422934964408</v>
      </c>
      <c r="E9" s="453">
        <f>transport!E14</f>
        <v>97.996809679480322</v>
      </c>
      <c r="F9" s="453">
        <f>transport!F14</f>
        <v>0</v>
      </c>
      <c r="G9" s="453">
        <f>transport!G14</f>
        <v>41739.476521459328</v>
      </c>
      <c r="H9" s="453">
        <f>transport!H14</f>
        <v>10878.26022524837</v>
      </c>
      <c r="I9" s="453">
        <f>transport!I14</f>
        <v>0</v>
      </c>
      <c r="J9" s="453">
        <f>transport!J14</f>
        <v>0</v>
      </c>
      <c r="K9" s="453">
        <f>transport!K14</f>
        <v>0</v>
      </c>
      <c r="L9" s="453">
        <f>transport!L14</f>
        <v>0</v>
      </c>
      <c r="M9" s="453">
        <f>transport!M14</f>
        <v>3106.210048274595</v>
      </c>
      <c r="N9" s="453">
        <f>transport!N14</f>
        <v>0</v>
      </c>
      <c r="O9" s="453">
        <f>transport!O14</f>
        <v>0</v>
      </c>
      <c r="P9" s="453">
        <f>transport!P14</f>
        <v>0</v>
      </c>
      <c r="Q9" s="452">
        <f>SUM(B9:P9)</f>
        <v>56093.307861241279</v>
      </c>
    </row>
    <row r="10" spans="1:17">
      <c r="A10" s="448" t="s">
        <v>534</v>
      </c>
      <c r="B10" s="449">
        <f>transport!B54</f>
        <v>12.757798450604477</v>
      </c>
      <c r="C10" s="449">
        <f>transport!C54</f>
        <v>0</v>
      </c>
      <c r="D10" s="449">
        <f>transport!D54</f>
        <v>0</v>
      </c>
      <c r="E10" s="449">
        <f>transport!E54</f>
        <v>0</v>
      </c>
      <c r="F10" s="449">
        <f>transport!F54</f>
        <v>0</v>
      </c>
      <c r="G10" s="449">
        <f>transport!G54</f>
        <v>910.62865413197721</v>
      </c>
      <c r="H10" s="449">
        <f>transport!H54</f>
        <v>0</v>
      </c>
      <c r="I10" s="449">
        <f>transport!I54</f>
        <v>0</v>
      </c>
      <c r="J10" s="449">
        <f>transport!J54</f>
        <v>0</v>
      </c>
      <c r="K10" s="449">
        <f>transport!K54</f>
        <v>0</v>
      </c>
      <c r="L10" s="449">
        <f>transport!L54</f>
        <v>0</v>
      </c>
      <c r="M10" s="449">
        <f>transport!M54</f>
        <v>50.283633798433819</v>
      </c>
      <c r="N10" s="449">
        <f>transport!N54</f>
        <v>0</v>
      </c>
      <c r="O10" s="449">
        <f>transport!O54</f>
        <v>0</v>
      </c>
      <c r="P10" s="450">
        <f>transport!P54</f>
        <v>0</v>
      </c>
      <c r="Q10" s="448">
        <f t="shared" si="0"/>
        <v>973.67008638101549</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279.83304548815801</v>
      </c>
      <c r="C14" s="456"/>
      <c r="D14" s="456">
        <f>'SEAP template'!E25</f>
        <v>373.58243649778001</v>
      </c>
      <c r="E14" s="456"/>
      <c r="F14" s="456"/>
      <c r="G14" s="456"/>
      <c r="H14" s="456"/>
      <c r="I14" s="456"/>
      <c r="J14" s="456"/>
      <c r="K14" s="456"/>
      <c r="L14" s="456"/>
      <c r="M14" s="456"/>
      <c r="N14" s="456"/>
      <c r="O14" s="456"/>
      <c r="P14" s="457"/>
      <c r="Q14" s="448">
        <f t="shared" si="0"/>
        <v>653.41548198593796</v>
      </c>
    </row>
    <row r="15" spans="1:17" s="460" customFormat="1">
      <c r="A15" s="458" t="s">
        <v>538</v>
      </c>
      <c r="B15" s="459">
        <f ca="1">SUM(B4:B14)</f>
        <v>83711.109428843309</v>
      </c>
      <c r="C15" s="459">
        <f t="shared" ref="C15:Q15" ca="1" si="1">SUM(C4:C14)</f>
        <v>22387.5</v>
      </c>
      <c r="D15" s="459">
        <f t="shared" ca="1" si="1"/>
        <v>49855.209247256236</v>
      </c>
      <c r="E15" s="459">
        <f t="shared" si="1"/>
        <v>1458.8804929924656</v>
      </c>
      <c r="F15" s="459">
        <f t="shared" ca="1" si="1"/>
        <v>42332.62533803832</v>
      </c>
      <c r="G15" s="459">
        <f t="shared" si="1"/>
        <v>42650.105175591307</v>
      </c>
      <c r="H15" s="459">
        <f t="shared" si="1"/>
        <v>10878.26022524837</v>
      </c>
      <c r="I15" s="459">
        <f t="shared" si="1"/>
        <v>0</v>
      </c>
      <c r="J15" s="459">
        <f t="shared" si="1"/>
        <v>1380.7391865336444</v>
      </c>
      <c r="K15" s="459">
        <f t="shared" si="1"/>
        <v>0</v>
      </c>
      <c r="L15" s="459">
        <f t="shared" ca="1" si="1"/>
        <v>0</v>
      </c>
      <c r="M15" s="459">
        <f t="shared" si="1"/>
        <v>3156.493682073029</v>
      </c>
      <c r="N15" s="459">
        <f t="shared" ca="1" si="1"/>
        <v>6611.7271587944424</v>
      </c>
      <c r="O15" s="459">
        <f t="shared" si="1"/>
        <v>348.12203271979763</v>
      </c>
      <c r="P15" s="459">
        <f t="shared" si="1"/>
        <v>242.15040584482546</v>
      </c>
      <c r="Q15" s="459">
        <f t="shared" ca="1" si="1"/>
        <v>265012.92237393575</v>
      </c>
    </row>
    <row r="17" spans="1:17">
      <c r="A17" s="461" t="s">
        <v>539</v>
      </c>
      <c r="B17" s="777">
        <f ca="1">huishoudens!B10</f>
        <v>0.21131260417392658</v>
      </c>
      <c r="C17" s="777">
        <f ca="1">huishoudens!C10</f>
        <v>0.23764705882352941</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2845.2522146661913</v>
      </c>
      <c r="C22" s="449">
        <f t="shared" ref="C22:C32" ca="1" si="3">C4*$C$17</f>
        <v>0</v>
      </c>
      <c r="D22" s="449">
        <f t="shared" ref="D22:D32" si="4">D4*$D$17</f>
        <v>3954.2561594965327</v>
      </c>
      <c r="E22" s="449">
        <f t="shared" ref="E22:E32" si="5">E4*$E$17</f>
        <v>242.66832926267037</v>
      </c>
      <c r="F22" s="449">
        <f t="shared" ref="F22:F32" si="6">F4*$F$17</f>
        <v>6483.2063224078875</v>
      </c>
      <c r="G22" s="449">
        <f t="shared" ref="G22:G32" si="7">G4*$G$17</f>
        <v>0</v>
      </c>
      <c r="H22" s="449">
        <f t="shared" ref="H22:H32" si="8">H4*$H$17</f>
        <v>0</v>
      </c>
      <c r="I22" s="449">
        <f t="shared" ref="I22:I32" si="9">I4*$I$17</f>
        <v>0</v>
      </c>
      <c r="J22" s="449">
        <f t="shared" ref="J22:J32" si="10">J4*$J$17</f>
        <v>43.002895638701219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13568.385921471983</v>
      </c>
    </row>
    <row r="23" spans="1:17">
      <c r="A23" s="448" t="s">
        <v>155</v>
      </c>
      <c r="B23" s="449">
        <f t="shared" ca="1" si="2"/>
        <v>2023.6337914007665</v>
      </c>
      <c r="C23" s="449">
        <f t="shared" ca="1" si="3"/>
        <v>0</v>
      </c>
      <c r="D23" s="449">
        <f t="shared" ca="1" si="4"/>
        <v>2121.6601008109983</v>
      </c>
      <c r="E23" s="449">
        <f t="shared" si="5"/>
        <v>5.1151447563589905</v>
      </c>
      <c r="F23" s="449">
        <f t="shared" ca="1" si="6"/>
        <v>334.71386775237005</v>
      </c>
      <c r="G23" s="449">
        <f t="shared" si="7"/>
        <v>0</v>
      </c>
      <c r="H23" s="449">
        <f t="shared" si="8"/>
        <v>0</v>
      </c>
      <c r="I23" s="449">
        <f t="shared" si="9"/>
        <v>0</v>
      </c>
      <c r="J23" s="449">
        <f t="shared" si="10"/>
        <v>2.5527738488630666E-3</v>
      </c>
      <c r="K23" s="449">
        <f t="shared" si="11"/>
        <v>0</v>
      </c>
      <c r="L23" s="449">
        <f t="shared" ca="1" si="12"/>
        <v>0</v>
      </c>
      <c r="M23" s="449">
        <f t="shared" si="13"/>
        <v>0</v>
      </c>
      <c r="N23" s="449">
        <f t="shared" ca="1" si="14"/>
        <v>0</v>
      </c>
      <c r="O23" s="449">
        <f t="shared" si="15"/>
        <v>0</v>
      </c>
      <c r="P23" s="450">
        <f t="shared" si="16"/>
        <v>0</v>
      </c>
      <c r="Q23" s="448">
        <f t="shared" ref="Q23:Q31" ca="1" si="17">SUM(B23:P23)</f>
        <v>4485.1254574943423</v>
      </c>
    </row>
    <row r="24" spans="1:17">
      <c r="A24" s="448" t="s">
        <v>193</v>
      </c>
      <c r="B24" s="449">
        <f t="shared" ca="1" si="2"/>
        <v>151.90903882636488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151.90903882636488</v>
      </c>
    </row>
    <row r="25" spans="1:17">
      <c r="A25" s="448" t="s">
        <v>111</v>
      </c>
      <c r="B25" s="449">
        <f t="shared" ca="1" si="2"/>
        <v>1013.4432961471903</v>
      </c>
      <c r="C25" s="449">
        <f t="shared" ca="1" si="3"/>
        <v>5320.3235294117649</v>
      </c>
      <c r="D25" s="449">
        <f t="shared" si="4"/>
        <v>0</v>
      </c>
      <c r="E25" s="449">
        <f t="shared" si="5"/>
        <v>40.60017587591468</v>
      </c>
      <c r="F25" s="449">
        <f t="shared" si="6"/>
        <v>4154.4916231936977</v>
      </c>
      <c r="G25" s="449">
        <f t="shared" si="7"/>
        <v>0</v>
      </c>
      <c r="H25" s="449">
        <f t="shared" si="8"/>
        <v>0</v>
      </c>
      <c r="I25" s="449">
        <f t="shared" si="9"/>
        <v>0</v>
      </c>
      <c r="J25" s="449">
        <f t="shared" si="10"/>
        <v>445.67142514825412</v>
      </c>
      <c r="K25" s="449">
        <f t="shared" si="11"/>
        <v>0</v>
      </c>
      <c r="L25" s="449">
        <f t="shared" si="12"/>
        <v>0</v>
      </c>
      <c r="M25" s="449">
        <f t="shared" si="13"/>
        <v>0</v>
      </c>
      <c r="N25" s="449">
        <f t="shared" si="14"/>
        <v>0</v>
      </c>
      <c r="O25" s="449">
        <f t="shared" si="15"/>
        <v>0</v>
      </c>
      <c r="P25" s="450">
        <f t="shared" si="16"/>
        <v>0</v>
      </c>
      <c r="Q25" s="448">
        <f t="shared" ca="1" si="17"/>
        <v>10974.53004977682</v>
      </c>
    </row>
    <row r="26" spans="1:17">
      <c r="A26" s="448" t="s">
        <v>618</v>
      </c>
      <c r="B26" s="449">
        <f t="shared" ca="1" si="2"/>
        <v>11573.747554649577</v>
      </c>
      <c r="C26" s="449">
        <f t="shared" ca="1" si="3"/>
        <v>0</v>
      </c>
      <c r="D26" s="449">
        <f t="shared" si="4"/>
        <v>3883.1003811370488</v>
      </c>
      <c r="E26" s="449">
        <f t="shared" si="5"/>
        <v>20.536946217103637</v>
      </c>
      <c r="F26" s="449">
        <f t="shared" si="6"/>
        <v>330.39915190227657</v>
      </c>
      <c r="G26" s="449">
        <f t="shared" si="7"/>
        <v>0</v>
      </c>
      <c r="H26" s="449">
        <f t="shared" si="8"/>
        <v>0</v>
      </c>
      <c r="I26" s="449">
        <f t="shared" si="9"/>
        <v>0</v>
      </c>
      <c r="J26" s="449">
        <f t="shared" si="10"/>
        <v>0.10479847210597414</v>
      </c>
      <c r="K26" s="449">
        <f t="shared" si="11"/>
        <v>0</v>
      </c>
      <c r="L26" s="449">
        <f t="shared" si="12"/>
        <v>0</v>
      </c>
      <c r="M26" s="449">
        <f t="shared" si="13"/>
        <v>0</v>
      </c>
      <c r="N26" s="449">
        <f t="shared" si="14"/>
        <v>0</v>
      </c>
      <c r="O26" s="449">
        <f t="shared" si="15"/>
        <v>0</v>
      </c>
      <c r="P26" s="450">
        <f t="shared" si="16"/>
        <v>0</v>
      </c>
      <c r="Q26" s="448">
        <f t="shared" ca="1" si="17"/>
        <v>15807.888832378112</v>
      </c>
    </row>
    <row r="27" spans="1:17" s="454" customFormat="1">
      <c r="A27" s="452" t="s">
        <v>544</v>
      </c>
      <c r="B27" s="771">
        <f t="shared" ca="1" si="2"/>
        <v>19.398502817179939</v>
      </c>
      <c r="C27" s="453">
        <f t="shared" ca="1" si="3"/>
        <v>0</v>
      </c>
      <c r="D27" s="453">
        <f t="shared" si="4"/>
        <v>36.271974328628104</v>
      </c>
      <c r="E27" s="453">
        <f t="shared" si="5"/>
        <v>22.245275797242034</v>
      </c>
      <c r="F27" s="453">
        <f t="shared" si="6"/>
        <v>0</v>
      </c>
      <c r="G27" s="453">
        <f t="shared" si="7"/>
        <v>11144.440231229641</v>
      </c>
      <c r="H27" s="453">
        <f t="shared" si="8"/>
        <v>2708.686796086844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13931.042780259535</v>
      </c>
    </row>
    <row r="28" spans="1:17" ht="16.5" customHeight="1">
      <c r="A28" s="448" t="s">
        <v>534</v>
      </c>
      <c r="B28" s="449">
        <f t="shared" ca="1" si="2"/>
        <v>2.6958836141233178</v>
      </c>
      <c r="C28" s="449">
        <f t="shared" ca="1" si="3"/>
        <v>0</v>
      </c>
      <c r="D28" s="449">
        <f t="shared" si="4"/>
        <v>0</v>
      </c>
      <c r="E28" s="449">
        <f t="shared" si="5"/>
        <v>0</v>
      </c>
      <c r="F28" s="449">
        <f t="shared" si="6"/>
        <v>0</v>
      </c>
      <c r="G28" s="449">
        <f t="shared" si="7"/>
        <v>243.13785065323793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245.83373426736125</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59.132249576023526</v>
      </c>
      <c r="C32" s="449">
        <f t="shared" ca="1" si="3"/>
        <v>0</v>
      </c>
      <c r="D32" s="449">
        <f t="shared" si="4"/>
        <v>75.463652172551562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134.5959017485751</v>
      </c>
    </row>
    <row r="33" spans="1:17" s="460" customFormat="1">
      <c r="A33" s="458" t="s">
        <v>538</v>
      </c>
      <c r="B33" s="459">
        <f ca="1">SUM(B22:B32)</f>
        <v>17689.21253169742</v>
      </c>
      <c r="C33" s="459">
        <f t="shared" ref="C33:Q33" ca="1" si="19">SUM(C22:C32)</f>
        <v>5320.3235294117649</v>
      </c>
      <c r="D33" s="459">
        <f t="shared" ca="1" si="19"/>
        <v>10070.75226794576</v>
      </c>
      <c r="E33" s="459">
        <f t="shared" si="19"/>
        <v>331.16587190928971</v>
      </c>
      <c r="F33" s="459">
        <f t="shared" ca="1" si="19"/>
        <v>11302.810965256233</v>
      </c>
      <c r="G33" s="459">
        <f t="shared" si="19"/>
        <v>11387.578081882879</v>
      </c>
      <c r="H33" s="459">
        <f t="shared" si="19"/>
        <v>2708.686796086844</v>
      </c>
      <c r="I33" s="459">
        <f t="shared" si="19"/>
        <v>0</v>
      </c>
      <c r="J33" s="459">
        <f t="shared" si="19"/>
        <v>488.78167203291019</v>
      </c>
      <c r="K33" s="459">
        <f t="shared" si="19"/>
        <v>0</v>
      </c>
      <c r="L33" s="459">
        <f t="shared" ca="1" si="19"/>
        <v>0</v>
      </c>
      <c r="M33" s="459">
        <f t="shared" si="19"/>
        <v>0</v>
      </c>
      <c r="N33" s="459">
        <f t="shared" ca="1" si="19"/>
        <v>0</v>
      </c>
      <c r="O33" s="459">
        <f t="shared" si="19"/>
        <v>0</v>
      </c>
      <c r="P33" s="459">
        <f t="shared" si="19"/>
        <v>0</v>
      </c>
      <c r="Q33" s="459">
        <f t="shared" ca="1" si="19"/>
        <v>59299.311716223099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4849.8772518786691</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15671.25</v>
      </c>
      <c r="D8" s="1015">
        <f>'SEAP template'!D76</f>
        <v>18436.764705882353</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3724.2264705882358</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4849.8772518786691</v>
      </c>
      <c r="C10" s="1017">
        <f>SUM(C4:C9)</f>
        <v>15671.25</v>
      </c>
      <c r="D10" s="1017">
        <f t="shared" ref="D10:H10" si="0">SUM(D8:D9)</f>
        <v>18436.764705882353</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3724.2264705882358</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0.21131260417392658</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22387.5</v>
      </c>
      <c r="D17" s="1016">
        <f>'SEAP template'!D87</f>
        <v>26338.235294117647</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5320.3235294117649</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22387.5</v>
      </c>
      <c r="D20" s="1017">
        <f t="shared" ref="D20:H20" si="2">SUM(D17:D19)</f>
        <v>26338.235294117647</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5320.3235294117649</v>
      </c>
    </row>
    <row r="21" spans="1:16">
      <c r="B21" s="882"/>
    </row>
    <row r="22" spans="1:16">
      <c r="A22" s="461" t="s">
        <v>762</v>
      </c>
      <c r="B22" s="777" t="s">
        <v>760</v>
      </c>
      <c r="C22" s="777">
        <f ca="1">'EF ele_warmte'!B22</f>
        <v>0.23764705882352941</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0.21131260417392658</v>
      </c>
      <c r="C17" s="497">
        <f ca="1">'EF ele_warmte'!B22</f>
        <v>0.23764705882352941</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0.21131260417392658</v>
      </c>
      <c r="C17" s="497">
        <f ca="1">'EF ele_warmte'!B22</f>
        <v>0.23764705882352941</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0.21131260417392658</v>
      </c>
      <c r="C29" s="498">
        <f ca="1">'EF ele_warmte'!B22</f>
        <v>0.23764705882352941</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3229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4240.21</v>
      </c>
      <c r="C14" s="326"/>
      <c r="D14" s="326"/>
      <c r="E14" s="326"/>
      <c r="F14" s="326"/>
    </row>
    <row r="15" spans="1:6">
      <c r="A15" s="1307" t="s">
        <v>183</v>
      </c>
      <c r="B15" s="1308">
        <v>1020</v>
      </c>
      <c r="C15" s="326"/>
      <c r="D15" s="326"/>
      <c r="E15" s="326"/>
      <c r="F15" s="326"/>
    </row>
    <row r="16" spans="1:6">
      <c r="A16" s="1307" t="s">
        <v>6</v>
      </c>
      <c r="B16" s="1308">
        <v>1435</v>
      </c>
      <c r="C16" s="326"/>
      <c r="D16" s="326"/>
      <c r="E16" s="326"/>
      <c r="F16" s="326"/>
    </row>
    <row r="17" spans="1:6">
      <c r="A17" s="1307" t="s">
        <v>7</v>
      </c>
      <c r="B17" s="1308">
        <v>1374</v>
      </c>
      <c r="C17" s="326"/>
      <c r="D17" s="326"/>
      <c r="E17" s="326"/>
      <c r="F17" s="326"/>
    </row>
    <row r="18" spans="1:6">
      <c r="A18" s="1307" t="s">
        <v>8</v>
      </c>
      <c r="B18" s="1308">
        <v>1790</v>
      </c>
      <c r="C18" s="326"/>
      <c r="D18" s="326"/>
      <c r="E18" s="326"/>
      <c r="F18" s="326"/>
    </row>
    <row r="19" spans="1:6">
      <c r="A19" s="1307" t="s">
        <v>9</v>
      </c>
      <c r="B19" s="1308">
        <v>2259</v>
      </c>
      <c r="C19" s="326"/>
      <c r="D19" s="326"/>
      <c r="E19" s="326"/>
      <c r="F19" s="326"/>
    </row>
    <row r="20" spans="1:6">
      <c r="A20" s="1307" t="s">
        <v>10</v>
      </c>
      <c r="B20" s="1308">
        <v>1047</v>
      </c>
      <c r="C20" s="326"/>
      <c r="D20" s="326"/>
      <c r="E20" s="326"/>
      <c r="F20" s="326"/>
    </row>
    <row r="21" spans="1:6">
      <c r="A21" s="1307" t="s">
        <v>11</v>
      </c>
      <c r="B21" s="1308">
        <v>15313</v>
      </c>
      <c r="C21" s="326"/>
      <c r="D21" s="326"/>
      <c r="E21" s="326"/>
      <c r="F21" s="326"/>
    </row>
    <row r="22" spans="1:6">
      <c r="A22" s="1307" t="s">
        <v>12</v>
      </c>
      <c r="B22" s="1308">
        <v>67715</v>
      </c>
      <c r="C22" s="326"/>
      <c r="D22" s="326"/>
      <c r="E22" s="326"/>
      <c r="F22" s="326"/>
    </row>
    <row r="23" spans="1:6">
      <c r="A23" s="1307" t="s">
        <v>13</v>
      </c>
      <c r="B23" s="1308">
        <v>513</v>
      </c>
      <c r="C23" s="326"/>
      <c r="D23" s="326"/>
      <c r="E23" s="326"/>
      <c r="F23" s="326"/>
    </row>
    <row r="24" spans="1:6">
      <c r="A24" s="1307" t="s">
        <v>14</v>
      </c>
      <c r="B24" s="1308">
        <v>32</v>
      </c>
      <c r="C24" s="326"/>
      <c r="D24" s="326"/>
      <c r="E24" s="326"/>
      <c r="F24" s="326"/>
    </row>
    <row r="25" spans="1:6">
      <c r="A25" s="1307" t="s">
        <v>15</v>
      </c>
      <c r="B25" s="1308">
        <v>3823</v>
      </c>
      <c r="C25" s="326"/>
      <c r="D25" s="326"/>
      <c r="E25" s="326"/>
      <c r="F25" s="326"/>
    </row>
    <row r="26" spans="1:6">
      <c r="A26" s="1307" t="s">
        <v>16</v>
      </c>
      <c r="B26" s="1308">
        <v>519</v>
      </c>
      <c r="C26" s="326"/>
      <c r="D26" s="326"/>
      <c r="E26" s="326"/>
      <c r="F26" s="326"/>
    </row>
    <row r="27" spans="1:6">
      <c r="A27" s="1307" t="s">
        <v>17</v>
      </c>
      <c r="B27" s="1308">
        <v>24</v>
      </c>
      <c r="C27" s="326"/>
      <c r="D27" s="326"/>
      <c r="E27" s="326"/>
      <c r="F27" s="326"/>
    </row>
    <row r="28" spans="1:6" s="43" customFormat="1">
      <c r="A28" s="1309" t="s">
        <v>18</v>
      </c>
      <c r="B28" s="1310">
        <v>610426</v>
      </c>
      <c r="C28" s="332"/>
      <c r="D28" s="332"/>
      <c r="E28" s="332"/>
      <c r="F28" s="332"/>
    </row>
    <row r="29" spans="1:6">
      <c r="A29" s="1309" t="s">
        <v>688</v>
      </c>
      <c r="B29" s="1310">
        <v>188</v>
      </c>
      <c r="C29" s="332"/>
      <c r="D29" s="332"/>
      <c r="E29" s="332"/>
      <c r="F29" s="332"/>
    </row>
    <row r="30" spans="1:6">
      <c r="A30" s="1302" t="s">
        <v>689</v>
      </c>
      <c r="B30" s="1311">
        <v>13</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18515.7670153326</v>
      </c>
    </row>
    <row r="39" spans="1:6">
      <c r="A39" s="1307" t="s">
        <v>29</v>
      </c>
      <c r="B39" s="1307" t="s">
        <v>30</v>
      </c>
      <c r="C39" s="1308">
        <v>1568</v>
      </c>
      <c r="D39" s="1308">
        <v>21678322.859426402</v>
      </c>
      <c r="E39" s="1308">
        <v>2934</v>
      </c>
      <c r="F39" s="1308">
        <v>10080440.329662399</v>
      </c>
    </row>
    <row r="40" spans="1:6">
      <c r="A40" s="1307" t="s">
        <v>29</v>
      </c>
      <c r="B40" s="1307" t="s">
        <v>28</v>
      </c>
      <c r="C40" s="1308">
        <v>0</v>
      </c>
      <c r="D40" s="1308">
        <v>0</v>
      </c>
      <c r="E40" s="1308">
        <v>0</v>
      </c>
      <c r="F40" s="1308">
        <v>0</v>
      </c>
    </row>
    <row r="41" spans="1:6">
      <c r="A41" s="1307" t="s">
        <v>31</v>
      </c>
      <c r="B41" s="1307" t="s">
        <v>32</v>
      </c>
      <c r="C41" s="1308">
        <v>21</v>
      </c>
      <c r="D41" s="1308">
        <v>363101.03398651199</v>
      </c>
      <c r="E41" s="1308">
        <v>93</v>
      </c>
      <c r="F41" s="1308">
        <v>561038.31803485495</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4</v>
      </c>
      <c r="D44" s="1308">
        <v>48332.214677361</v>
      </c>
      <c r="E44" s="1308">
        <v>16</v>
      </c>
      <c r="F44" s="1308">
        <v>162827.480517572</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3</v>
      </c>
      <c r="F47" s="1308">
        <v>4303.2119899507998</v>
      </c>
    </row>
    <row r="48" spans="1:6">
      <c r="A48" s="1307" t="s">
        <v>31</v>
      </c>
      <c r="B48" s="1307" t="s">
        <v>28</v>
      </c>
      <c r="C48" s="1308">
        <v>0</v>
      </c>
      <c r="D48" s="1308">
        <v>0</v>
      </c>
      <c r="E48" s="1308">
        <v>2</v>
      </c>
      <c r="F48" s="1308">
        <v>74238.279340416004</v>
      </c>
    </row>
    <row r="49" spans="1:6">
      <c r="A49" s="1307" t="s">
        <v>31</v>
      </c>
      <c r="B49" s="1307" t="s">
        <v>39</v>
      </c>
      <c r="C49" s="1308">
        <v>0</v>
      </c>
      <c r="D49" s="1308">
        <v>0</v>
      </c>
      <c r="E49" s="1308">
        <v>0</v>
      </c>
      <c r="F49" s="1308">
        <v>0</v>
      </c>
    </row>
    <row r="50" spans="1:6">
      <c r="A50" s="1307" t="s">
        <v>31</v>
      </c>
      <c r="B50" s="1307" t="s">
        <v>40</v>
      </c>
      <c r="C50" s="1308">
        <v>5</v>
      </c>
      <c r="D50" s="1308">
        <v>20876794.008866299</v>
      </c>
      <c r="E50" s="1308">
        <v>16</v>
      </c>
      <c r="F50" s="1308">
        <v>53968332.0131239</v>
      </c>
    </row>
    <row r="51" spans="1:6">
      <c r="A51" s="1307" t="s">
        <v>41</v>
      </c>
      <c r="B51" s="1307" t="s">
        <v>42</v>
      </c>
      <c r="C51" s="1308">
        <v>16</v>
      </c>
      <c r="D51" s="1308">
        <v>15042768.4184408</v>
      </c>
      <c r="E51" s="1308">
        <v>203</v>
      </c>
      <c r="F51" s="1308">
        <v>4795943.4322859803</v>
      </c>
    </row>
    <row r="52" spans="1:6">
      <c r="A52" s="1307" t="s">
        <v>41</v>
      </c>
      <c r="B52" s="1307" t="s">
        <v>28</v>
      </c>
      <c r="C52" s="1308">
        <v>0</v>
      </c>
      <c r="D52" s="1308">
        <v>0</v>
      </c>
      <c r="E52" s="1308">
        <v>0</v>
      </c>
      <c r="F52" s="1308">
        <v>0</v>
      </c>
    </row>
    <row r="53" spans="1:6">
      <c r="A53" s="1307" t="s">
        <v>43</v>
      </c>
      <c r="B53" s="1307" t="s">
        <v>44</v>
      </c>
      <c r="C53" s="1308">
        <v>36</v>
      </c>
      <c r="D53" s="1308">
        <v>373582.43649778003</v>
      </c>
      <c r="E53" s="1308">
        <v>94</v>
      </c>
      <c r="F53" s="1308">
        <v>279833.04548815801</v>
      </c>
    </row>
    <row r="54" spans="1:6">
      <c r="A54" s="1307" t="s">
        <v>45</v>
      </c>
      <c r="B54" s="1307" t="s">
        <v>46</v>
      </c>
      <c r="C54" s="1308">
        <v>0</v>
      </c>
      <c r="D54" s="1308">
        <v>0</v>
      </c>
      <c r="E54" s="1308">
        <v>1</v>
      </c>
      <c r="F54" s="1308">
        <v>718883</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18</v>
      </c>
      <c r="D57" s="1308">
        <v>301820.56092721701</v>
      </c>
      <c r="E57" s="1308">
        <v>45</v>
      </c>
      <c r="F57" s="1308">
        <v>730190.04837572295</v>
      </c>
    </row>
    <row r="58" spans="1:6">
      <c r="A58" s="1307" t="s">
        <v>48</v>
      </c>
      <c r="B58" s="1307" t="s">
        <v>50</v>
      </c>
      <c r="C58" s="1308">
        <v>10</v>
      </c>
      <c r="D58" s="1308">
        <v>219805.26264090501</v>
      </c>
      <c r="E58" s="1308">
        <v>15</v>
      </c>
      <c r="F58" s="1308">
        <v>87369.130591382404</v>
      </c>
    </row>
    <row r="59" spans="1:6">
      <c r="A59" s="1307" t="s">
        <v>48</v>
      </c>
      <c r="B59" s="1307" t="s">
        <v>51</v>
      </c>
      <c r="C59" s="1308">
        <v>36</v>
      </c>
      <c r="D59" s="1308">
        <v>3003934.5206136201</v>
      </c>
      <c r="E59" s="1308">
        <v>102</v>
      </c>
      <c r="F59" s="1308">
        <v>3130612.2601832598</v>
      </c>
    </row>
    <row r="60" spans="1:6">
      <c r="A60" s="1307" t="s">
        <v>48</v>
      </c>
      <c r="B60" s="1307" t="s">
        <v>52</v>
      </c>
      <c r="C60" s="1308">
        <v>27</v>
      </c>
      <c r="D60" s="1308">
        <v>719125.82114176103</v>
      </c>
      <c r="E60" s="1308">
        <v>47</v>
      </c>
      <c r="F60" s="1308">
        <v>1069280.56743469</v>
      </c>
    </row>
    <row r="61" spans="1:6">
      <c r="A61" s="1307" t="s">
        <v>48</v>
      </c>
      <c r="B61" s="1307" t="s">
        <v>53</v>
      </c>
      <c r="C61" s="1308">
        <v>63</v>
      </c>
      <c r="D61" s="1308">
        <v>6926824.7500808304</v>
      </c>
      <c r="E61" s="1308">
        <v>140</v>
      </c>
      <c r="F61" s="1308">
        <v>4480215.1758820498</v>
      </c>
    </row>
    <row r="62" spans="1:6">
      <c r="A62" s="1307" t="s">
        <v>48</v>
      </c>
      <c r="B62" s="1307" t="s">
        <v>54</v>
      </c>
      <c r="C62" s="1308">
        <v>6</v>
      </c>
      <c r="D62" s="1308">
        <v>460014.91604308598</v>
      </c>
      <c r="E62" s="1308">
        <v>7</v>
      </c>
      <c r="F62" s="1308">
        <v>78826.369877552599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1364.8131186108001</v>
      </c>
      <c r="E65" s="1308">
        <v>2</v>
      </c>
      <c r="F65" s="1308">
        <v>19816.677645940399</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0</v>
      </c>
      <c r="D68" s="1311">
        <v>0</v>
      </c>
      <c r="E68" s="1311">
        <v>4</v>
      </c>
      <c r="F68" s="1311">
        <v>18020.008160054</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33043846</v>
      </c>
      <c r="E73" s="447"/>
      <c r="F73" s="326"/>
    </row>
    <row r="74" spans="1:6">
      <c r="A74" s="1307" t="s">
        <v>63</v>
      </c>
      <c r="B74" s="1307" t="s">
        <v>639</v>
      </c>
      <c r="C74" s="1321" t="s">
        <v>641</v>
      </c>
      <c r="D74" s="1322">
        <v>2832954.6760377311</v>
      </c>
      <c r="E74" s="447"/>
      <c r="F74" s="326"/>
    </row>
    <row r="75" spans="1:6">
      <c r="A75" s="1307" t="s">
        <v>64</v>
      </c>
      <c r="B75" s="1307" t="s">
        <v>638</v>
      </c>
      <c r="C75" s="1321" t="s">
        <v>642</v>
      </c>
      <c r="D75" s="1322">
        <v>23559566</v>
      </c>
      <c r="E75" s="447"/>
      <c r="F75" s="326"/>
    </row>
    <row r="76" spans="1:6">
      <c r="A76" s="1307" t="s">
        <v>64</v>
      </c>
      <c r="B76" s="1307" t="s">
        <v>639</v>
      </c>
      <c r="C76" s="1321" t="s">
        <v>643</v>
      </c>
      <c r="D76" s="1322">
        <v>1577798.6760377311</v>
      </c>
      <c r="E76" s="447"/>
      <c r="F76" s="326"/>
    </row>
    <row r="77" spans="1:6">
      <c r="A77" s="1307" t="s">
        <v>65</v>
      </c>
      <c r="B77" s="1307" t="s">
        <v>638</v>
      </c>
      <c r="C77" s="1321" t="s">
        <v>644</v>
      </c>
      <c r="D77" s="1322">
        <v>1411109</v>
      </c>
      <c r="E77" s="447"/>
      <c r="F77" s="326"/>
    </row>
    <row r="78" spans="1:6">
      <c r="A78" s="1302" t="s">
        <v>65</v>
      </c>
      <c r="B78" s="1302" t="s">
        <v>639</v>
      </c>
      <c r="C78" s="1302" t="s">
        <v>645</v>
      </c>
      <c r="D78" s="1323">
        <v>254059</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269660.647924538</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3384.2189403749394</v>
      </c>
      <c r="C91" s="326"/>
      <c r="D91" s="326"/>
      <c r="E91" s="326"/>
      <c r="F91" s="326"/>
    </row>
    <row r="92" spans="1:6">
      <c r="A92" s="1302" t="s">
        <v>68</v>
      </c>
      <c r="B92" s="1303">
        <v>1465.6583115037299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589</v>
      </c>
      <c r="C97" s="326"/>
      <c r="D97" s="326"/>
      <c r="E97" s="326"/>
      <c r="F97" s="326"/>
    </row>
    <row r="98" spans="1:6">
      <c r="A98" s="1307" t="s">
        <v>71</v>
      </c>
      <c r="B98" s="1308">
        <v>0</v>
      </c>
      <c r="C98" s="326"/>
      <c r="D98" s="326"/>
      <c r="E98" s="326"/>
      <c r="F98" s="326"/>
    </row>
    <row r="99" spans="1:6">
      <c r="A99" s="1307" t="s">
        <v>72</v>
      </c>
      <c r="B99" s="1308">
        <v>207</v>
      </c>
      <c r="C99" s="326"/>
      <c r="D99" s="326"/>
      <c r="E99" s="326"/>
      <c r="F99" s="326"/>
    </row>
    <row r="100" spans="1:6">
      <c r="A100" s="1307" t="s">
        <v>73</v>
      </c>
      <c r="B100" s="1308">
        <v>248</v>
      </c>
      <c r="C100" s="326"/>
      <c r="D100" s="326"/>
      <c r="E100" s="326"/>
      <c r="F100" s="326"/>
    </row>
    <row r="101" spans="1:6">
      <c r="A101" s="1307" t="s">
        <v>74</v>
      </c>
      <c r="B101" s="1308">
        <v>97</v>
      </c>
      <c r="C101" s="326"/>
      <c r="D101" s="326"/>
      <c r="E101" s="326"/>
      <c r="F101" s="326"/>
    </row>
    <row r="102" spans="1:6">
      <c r="A102" s="1307" t="s">
        <v>75</v>
      </c>
      <c r="B102" s="1308">
        <v>44</v>
      </c>
      <c r="C102" s="326"/>
      <c r="D102" s="326"/>
      <c r="E102" s="326"/>
      <c r="F102" s="326"/>
    </row>
    <row r="103" spans="1:6">
      <c r="A103" s="1307" t="s">
        <v>76</v>
      </c>
      <c r="B103" s="1308">
        <v>236</v>
      </c>
      <c r="C103" s="326"/>
      <c r="D103" s="326"/>
      <c r="E103" s="326"/>
      <c r="F103" s="326"/>
    </row>
    <row r="104" spans="1:6">
      <c r="A104" s="1307" t="s">
        <v>77</v>
      </c>
      <c r="B104" s="1308">
        <v>1428</v>
      </c>
      <c r="C104" s="326"/>
      <c r="D104" s="326"/>
      <c r="E104" s="326"/>
      <c r="F104" s="326"/>
    </row>
    <row r="105" spans="1:6">
      <c r="A105" s="1302" t="s">
        <v>78</v>
      </c>
      <c r="B105" s="1311">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7</v>
      </c>
      <c r="C123" s="1308">
        <v>12</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161</v>
      </c>
      <c r="C129" s="326"/>
      <c r="D129" s="326"/>
      <c r="E129" s="326"/>
      <c r="F129" s="326"/>
    </row>
    <row r="130" spans="1:6">
      <c r="A130" s="1307" t="s">
        <v>290</v>
      </c>
      <c r="B130" s="1308">
        <v>1</v>
      </c>
      <c r="C130" s="326"/>
      <c r="D130" s="326"/>
      <c r="E130" s="326"/>
      <c r="F130" s="326"/>
    </row>
    <row r="131" spans="1:6">
      <c r="A131" s="1307" t="s">
        <v>291</v>
      </c>
      <c r="B131" s="1308">
        <v>1</v>
      </c>
      <c r="C131" s="326"/>
      <c r="D131" s="326"/>
      <c r="E131" s="326"/>
      <c r="F131" s="326"/>
    </row>
    <row r="132" spans="1:6">
      <c r="A132" s="1302" t="s">
        <v>292</v>
      </c>
      <c r="B132" s="1303">
        <v>11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83711.109428843309</v>
      </c>
      <c r="C3" s="43" t="s">
        <v>169</v>
      </c>
      <c r="D3" s="43"/>
      <c r="E3" s="154"/>
      <c r="F3" s="43"/>
      <c r="G3" s="43"/>
      <c r="H3" s="43"/>
      <c r="I3" s="43"/>
      <c r="J3" s="43"/>
      <c r="K3" s="96"/>
    </row>
    <row r="4" spans="1:11">
      <c r="A4" s="354" t="s">
        <v>170</v>
      </c>
      <c r="B4" s="49">
        <f>IF(ISERROR('SEAP template'!B78+'SEAP template'!C78),0,'SEAP template'!B78+'SEAP template'!C78)</f>
        <v>20521.127251878668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3724.2264705882358</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0.21131260417392658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5320.3235294117649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22387.5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0.23764705882352941</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718.88300000000004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718.88300000000004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0.21131260417392658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151.90903882636488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10080.440329662399</v>
      </c>
      <c r="C5" s="17">
        <f>IF(ISERROR('Eigen informatie GS &amp; warmtenet'!B59),0,'Eigen informatie GS &amp; warmtenet'!B59)</f>
        <v>0</v>
      </c>
      <c r="D5" s="30">
        <f>(SUM(HH_hh_gas_kWh,HH_rest_gas_kWh)/1000)*0.903</f>
        <v>19575.525542062041</v>
      </c>
      <c r="E5" s="17">
        <f>B32*B41</f>
        <v>1069.0234769280632</v>
      </c>
      <c r="F5" s="17">
        <f>B36*B45</f>
        <v>24281.671619505196</v>
      </c>
      <c r="G5" s="18"/>
      <c r="H5" s="17"/>
      <c r="I5" s="17"/>
      <c r="J5" s="17">
        <f>B35*B44+C35*C44</f>
        <v>121.47710632401476</v>
      </c>
      <c r="K5" s="17"/>
      <c r="L5" s="17"/>
      <c r="M5" s="17"/>
      <c r="N5" s="17">
        <f>B34*B43+C34*C43</f>
        <v>4614.9807757866729</v>
      </c>
      <c r="O5" s="17">
        <f>B52*B53*B54</f>
        <v>343.22477195395646</v>
      </c>
      <c r="P5" s="17">
        <f>B60*B61*B62/1000-B60*B61*B62/1000/B63</f>
        <v>189.61126753833042</v>
      </c>
    </row>
    <row r="6" spans="1:16">
      <c r="A6" s="16" t="s">
        <v>604</v>
      </c>
      <c r="B6" s="779">
        <f>kWh_PV_kleiner_dan_10kW</f>
        <v>3384.2189403749394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13464.659270037339</v>
      </c>
      <c r="C8" s="21">
        <f>C5</f>
        <v>0</v>
      </c>
      <c r="D8" s="21">
        <f>D5</f>
        <v>19575.525542062041</v>
      </c>
      <c r="E8" s="21">
        <f>E5</f>
        <v>1069.0234769280632</v>
      </c>
      <c r="F8" s="21">
        <f>F5</f>
        <v>24281.671619505196</v>
      </c>
      <c r="G8" s="21"/>
      <c r="H8" s="21"/>
      <c r="I8" s="21"/>
      <c r="J8" s="21">
        <f>J5</f>
        <v>121.47710632401476</v>
      </c>
      <c r="K8" s="21"/>
      <c r="L8" s="21">
        <f>L5</f>
        <v>0</v>
      </c>
      <c r="M8" s="21">
        <f>M5</f>
        <v>0</v>
      </c>
      <c r="N8" s="21">
        <f>N5</f>
        <v>4614.9807757866729</v>
      </c>
      <c r="O8" s="21">
        <f>O5</f>
        <v>343.22477195395646</v>
      </c>
      <c r="P8" s="21">
        <f>P5</f>
        <v>189.61126753833042</v>
      </c>
    </row>
    <row r="9" spans="1:16">
      <c r="B9" s="19"/>
      <c r="C9" s="19"/>
      <c r="D9" s="254"/>
      <c r="E9" s="19"/>
      <c r="F9" s="19"/>
      <c r="G9" s="19"/>
      <c r="H9" s="19"/>
      <c r="I9" s="19"/>
      <c r="J9" s="19"/>
      <c r="K9" s="19"/>
      <c r="L9" s="19"/>
      <c r="M9" s="19"/>
      <c r="N9" s="19"/>
      <c r="O9" s="19"/>
      <c r="P9" s="19"/>
    </row>
    <row r="10" spans="1:16">
      <c r="A10" s="24" t="s">
        <v>213</v>
      </c>
      <c r="B10" s="25">
        <f ca="1">'EF ele_warmte'!B12</f>
        <v>0.21131260417392658</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2845.2522146661913</v>
      </c>
      <c r="C12" s="23">
        <f ca="1">C10*C8</f>
        <v>0</v>
      </c>
      <c r="D12" s="23">
        <f>D8*D10</f>
        <v>3954.2561594965327</v>
      </c>
      <c r="E12" s="23">
        <f>E10*E8</f>
        <v>242.66832926267037</v>
      </c>
      <c r="F12" s="23">
        <f>F10*F8</f>
        <v>6483.2063224078875</v>
      </c>
      <c r="G12" s="23"/>
      <c r="H12" s="23"/>
      <c r="I12" s="23"/>
      <c r="J12" s="23">
        <f>J10*J8</f>
        <v>43.002895638701219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3229</v>
      </c>
      <c r="C26" s="36"/>
      <c r="D26" s="225"/>
    </row>
    <row r="27" spans="1:5" s="15" customFormat="1">
      <c r="A27" s="227" t="s">
        <v>817</v>
      </c>
      <c r="B27" s="37">
        <f>SUM(HH_hh_gas_aantal,HH_rest_gas_aantal)</f>
        <v>1568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1489.6</v>
      </c>
      <c r="C31" s="34" t="s">
        <v>110</v>
      </c>
      <c r="D31" s="171"/>
    </row>
    <row r="32" spans="1:5">
      <c r="A32" s="168" t="s">
        <v>72</v>
      </c>
      <c r="B32" s="33">
        <f>IF((B21*($B$26-($B$27-0.05*$B$27)-$B$60))&lt;0,0,B21*($B$26-($B$27-0.05*$B$27)-$B$60))</f>
        <v>26.494685410936619</v>
      </c>
      <c r="C32" s="34" t="s">
        <v>110</v>
      </c>
      <c r="D32" s="171"/>
    </row>
    <row r="33" spans="1:6">
      <c r="A33" s="168" t="s">
        <v>73</v>
      </c>
      <c r="B33" s="33">
        <f>IF((B22*($B$26-($B$27-0.05*$B$27)-$B$60))&lt;0,0,B22*($B$26-($B$27-0.05*$B$27)-$B$60))</f>
        <v>430.22121777321331</v>
      </c>
      <c r="C33" s="34" t="s">
        <v>110</v>
      </c>
      <c r="D33" s="171"/>
    </row>
    <row r="34" spans="1:6">
      <c r="A34" s="168" t="s">
        <v>74</v>
      </c>
      <c r="B34" s="33">
        <f>IF((B24*($B$26-($B$27-0.05*$B$27)-$B$60))&lt;0,0,B24*($B$26-($B$27-0.05*$B$27)-$B$60))</f>
        <v>82.408085527648225</v>
      </c>
      <c r="C34" s="33">
        <f>B26*C24</f>
        <v>661.21492352533176</v>
      </c>
      <c r="D34" s="230"/>
    </row>
    <row r="35" spans="1:6">
      <c r="A35" s="168" t="s">
        <v>76</v>
      </c>
      <c r="B35" s="33">
        <f>IF((B19*($B$26-($B$27-0.05*$B$27)-$B$60))&lt;0,0,B19*($B$26-($B$27-0.05*$B$27)-$B$60))</f>
        <v>11.517176583075214</v>
      </c>
      <c r="C35" s="33">
        <f>B35/2</f>
        <v>5.758588291537607</v>
      </c>
      <c r="D35" s="230"/>
    </row>
    <row r="36" spans="1:6">
      <c r="A36" s="168" t="s">
        <v>77</v>
      </c>
      <c r="B36" s="33">
        <f>IF((B18*($B$26-($B$27-0.05*$B$27)-$B$60))&lt;0,0,B18*($B$26-($B$27-0.05*$B$27)-$B$60))</f>
        <v>1170.7588347051262</v>
      </c>
      <c r="C36" s="34" t="s">
        <v>110</v>
      </c>
      <c r="D36" s="171"/>
    </row>
    <row r="37" spans="1:6">
      <c r="A37" s="168" t="s">
        <v>78</v>
      </c>
      <c r="B37" s="33">
        <f>B60</f>
        <v>18</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173</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18</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9576.4935523446566</v>
      </c>
      <c r="C5" s="17">
        <f>IF(ISERROR('Eigen informatie GS &amp; warmtenet'!B60),0,'Eigen informatie GS &amp; warmtenet'!B60)</f>
        <v>0</v>
      </c>
      <c r="D5" s="30">
        <f>SUM(D6:D12)</f>
        <v>10503.26782579702</v>
      </c>
      <c r="E5" s="17">
        <f>SUM(E6:E12)</f>
        <v>22.533677340788504</v>
      </c>
      <c r="F5" s="17">
        <f>SUM(F6:F12)</f>
        <v>1253.6099915819102</v>
      </c>
      <c r="G5" s="18"/>
      <c r="H5" s="17"/>
      <c r="I5" s="17"/>
      <c r="J5" s="17">
        <f>SUM(J6:J12)</f>
        <v>7.2112255617600759E-3</v>
      </c>
      <c r="K5" s="17"/>
      <c r="L5" s="17"/>
      <c r="M5" s="17"/>
      <c r="N5" s="17">
        <f>SUM(N6:N12)</f>
        <v>265.21342007192118</v>
      </c>
      <c r="O5" s="17">
        <f>B38*B39*B40</f>
        <v>4.8972607658411542</v>
      </c>
      <c r="P5" s="17">
        <f>B46*B47*B48/1000-B46*B47*B48/1000/B49</f>
        <v>52.539138306495019</v>
      </c>
      <c r="R5" s="32"/>
    </row>
    <row r="6" spans="1:18">
      <c r="A6" s="32" t="s">
        <v>53</v>
      </c>
      <c r="B6" s="37">
        <f>B26</f>
        <v>4480.2151758820501</v>
      </c>
      <c r="C6" s="33"/>
      <c r="D6" s="37">
        <f>IF(ISERROR(TER_kantoor_gas_kWh/1000),0,TER_kantoor_gas_kWh/1000)*0.903</f>
        <v>6254.9227493229901</v>
      </c>
      <c r="E6" s="33">
        <f>$C$26*'E Balans VL '!I12/100/3.6*1000000</f>
        <v>1.0733530631334076</v>
      </c>
      <c r="F6" s="33">
        <f>$C$26*('E Balans VL '!L12+'E Balans VL '!N12)/100/3.6*1000000</f>
        <v>424.85354297559633</v>
      </c>
      <c r="G6" s="34"/>
      <c r="H6" s="33"/>
      <c r="I6" s="33"/>
      <c r="J6" s="33">
        <f>$C$26*('E Balans VL '!D12+'E Balans VL '!E12)/100/3.6*1000000</f>
        <v>0</v>
      </c>
      <c r="K6" s="33"/>
      <c r="L6" s="33"/>
      <c r="M6" s="33"/>
      <c r="N6" s="33">
        <f>$C$26*'E Balans VL '!Y12/100/3.6*1000000</f>
        <v>2.2757175760610919</v>
      </c>
      <c r="O6" s="33"/>
      <c r="P6" s="33"/>
      <c r="R6" s="32"/>
    </row>
    <row r="7" spans="1:18">
      <c r="A7" s="32" t="s">
        <v>52</v>
      </c>
      <c r="B7" s="37">
        <f t="shared" ref="B7:B12" si="0">B27</f>
        <v>1069.2805674346901</v>
      </c>
      <c r="C7" s="33"/>
      <c r="D7" s="37">
        <f>IF(ISERROR(TER_horeca_gas_kWh/1000),0,TER_horeca_gas_kWh/1000)*0.903</f>
        <v>649.3706164910102</v>
      </c>
      <c r="E7" s="33">
        <f>$C$27*'E Balans VL '!I9/100/3.6*1000000</f>
        <v>0</v>
      </c>
      <c r="F7" s="33">
        <f>$C$27*('E Balans VL '!L9+'E Balans VL '!N9)/100/3.6*1000000</f>
        <v>87.678492983257769</v>
      </c>
      <c r="G7" s="34"/>
      <c r="H7" s="33"/>
      <c r="I7" s="33"/>
      <c r="J7" s="33">
        <f>$C$27*('E Balans VL '!D9+'E Balans VL '!E9)/100/3.6*1000000</f>
        <v>0</v>
      </c>
      <c r="K7" s="33"/>
      <c r="L7" s="33"/>
      <c r="M7" s="33"/>
      <c r="N7" s="33">
        <f>$C$27*'E Balans VL '!Y9/100/3.6*1000000</f>
        <v>0.32777745446147732</v>
      </c>
      <c r="O7" s="33"/>
      <c r="P7" s="33"/>
      <c r="R7" s="32"/>
    </row>
    <row r="8" spans="1:18">
      <c r="A8" s="6" t="s">
        <v>51</v>
      </c>
      <c r="B8" s="37">
        <f t="shared" si="0"/>
        <v>3130.6122601832599</v>
      </c>
      <c r="C8" s="33"/>
      <c r="D8" s="37">
        <f>IF(ISERROR(TER_handel_gas_kWh/1000),0,TER_handel_gas_kWh/1000)*0.903</f>
        <v>2712.552872114099</v>
      </c>
      <c r="E8" s="33">
        <f>$C$28*'E Balans VL '!I13/100/3.6*1000000</f>
        <v>11.002391048701117</v>
      </c>
      <c r="F8" s="33">
        <f>$C$28*('E Balans VL '!L13+'E Balans VL '!N13)/100/3.6*1000000</f>
        <v>286.44539975183488</v>
      </c>
      <c r="G8" s="34"/>
      <c r="H8" s="33"/>
      <c r="I8" s="33"/>
      <c r="J8" s="33">
        <f>$C$28*('E Balans VL '!D13+'E Balans VL '!E13)/100/3.6*1000000</f>
        <v>0</v>
      </c>
      <c r="K8" s="33"/>
      <c r="L8" s="33"/>
      <c r="M8" s="33"/>
      <c r="N8" s="33">
        <f>$C$28*'E Balans VL '!Y13/100/3.6*1000000</f>
        <v>1.1337729827365617</v>
      </c>
      <c r="O8" s="33"/>
      <c r="P8" s="33"/>
      <c r="R8" s="32"/>
    </row>
    <row r="9" spans="1:18">
      <c r="A9" s="32" t="s">
        <v>50</v>
      </c>
      <c r="B9" s="37">
        <f t="shared" si="0"/>
        <v>87.369130591382401</v>
      </c>
      <c r="C9" s="33"/>
      <c r="D9" s="37">
        <f>IF(ISERROR(TER_gezond_gas_kWh/1000),0,TER_gezond_gas_kWh/1000)*0.903</f>
        <v>198.48415216473725</v>
      </c>
      <c r="E9" s="33">
        <f>$C$29*'E Balans VL '!I10/100/3.6*1000000</f>
        <v>0</v>
      </c>
      <c r="F9" s="33">
        <f>$C$29*('E Balans VL '!L10+'E Balans VL '!N10)/100/3.6*1000000</f>
        <v>10.709851055677186</v>
      </c>
      <c r="G9" s="34"/>
      <c r="H9" s="33"/>
      <c r="I9" s="33"/>
      <c r="J9" s="33">
        <f>$C$29*('E Balans VL '!D10+'E Balans VL '!E10)/100/3.6*1000000</f>
        <v>0</v>
      </c>
      <c r="K9" s="33"/>
      <c r="L9" s="33"/>
      <c r="M9" s="33"/>
      <c r="N9" s="33">
        <f>$C$29*'E Balans VL '!Y10/100/3.6*1000000</f>
        <v>0.64428645451033439</v>
      </c>
      <c r="O9" s="33"/>
      <c r="P9" s="33"/>
      <c r="R9" s="32"/>
    </row>
    <row r="10" spans="1:18">
      <c r="A10" s="32" t="s">
        <v>49</v>
      </c>
      <c r="B10" s="37">
        <f t="shared" si="0"/>
        <v>730.19004837572299</v>
      </c>
      <c r="C10" s="33"/>
      <c r="D10" s="37">
        <f>IF(ISERROR(TER_ander_gas_kWh/1000),0,TER_ander_gas_kWh/1000)*0.903</f>
        <v>272.54396651727694</v>
      </c>
      <c r="E10" s="33">
        <f>$C$30*'E Balans VL '!I14/100/3.6*1000000</f>
        <v>10.45793322895398</v>
      </c>
      <c r="F10" s="33">
        <f>$C$30*('E Balans VL '!L14+'E Balans VL '!N14)/100/3.6*1000000</f>
        <v>434.70696347990702</v>
      </c>
      <c r="G10" s="34"/>
      <c r="H10" s="33"/>
      <c r="I10" s="33"/>
      <c r="J10" s="33">
        <f>$C$30*('E Balans VL '!D14+'E Balans VL '!E14)/100/3.6*1000000</f>
        <v>7.2112255617600759E-3</v>
      </c>
      <c r="K10" s="33"/>
      <c r="L10" s="33"/>
      <c r="M10" s="33"/>
      <c r="N10" s="33">
        <f>$C$30*'E Balans VL '!Y14/100/3.6*1000000</f>
        <v>260.60989959830448</v>
      </c>
      <c r="O10" s="33"/>
      <c r="P10" s="33"/>
      <c r="R10" s="32"/>
    </row>
    <row r="11" spans="1:18">
      <c r="A11" s="32" t="s">
        <v>54</v>
      </c>
      <c r="B11" s="37">
        <f t="shared" si="0"/>
        <v>78.826369877552594</v>
      </c>
      <c r="C11" s="33"/>
      <c r="D11" s="37">
        <f>IF(ISERROR(TER_onderwijs_gas_kWh/1000),0,TER_onderwijs_gas_kWh/1000)*0.903</f>
        <v>415.39346918690666</v>
      </c>
      <c r="E11" s="33">
        <f>$C$31*'E Balans VL '!I11/100/3.6*1000000</f>
        <v>0</v>
      </c>
      <c r="F11" s="33">
        <f>$C$31*('E Balans VL '!L11+'E Balans VL '!N11)/100/3.6*1000000</f>
        <v>9.2157413356370057</v>
      </c>
      <c r="G11" s="34"/>
      <c r="H11" s="33"/>
      <c r="I11" s="33"/>
      <c r="J11" s="33">
        <f>$C$31*('E Balans VL '!D11+'E Balans VL '!E11)/100/3.6*1000000</f>
        <v>0</v>
      </c>
      <c r="K11" s="33"/>
      <c r="L11" s="33"/>
      <c r="M11" s="33"/>
      <c r="N11" s="33">
        <f>$C$31*'E Balans VL '!Y11/100/3.6*1000000</f>
        <v>0.22196600584718046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energieproductie'!N40+'lokale energieproductie'!N33</f>
        <v>0</v>
      </c>
      <c r="C13" s="243">
        <f ca="1">'lokale energieproductie'!O40+'lokale energieproductie'!O33</f>
        <v>0</v>
      </c>
      <c r="D13" s="304">
        <f ca="1">('lokale energieproductie'!P33+'lokale energieproductie'!P40)*(-1)</f>
        <v>0</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9576.4935523446566</v>
      </c>
      <c r="C16" s="21">
        <f t="shared" ca="1" si="1"/>
        <v>0</v>
      </c>
      <c r="D16" s="21">
        <f t="shared" ca="1" si="1"/>
        <v>10503.26782579702</v>
      </c>
      <c r="E16" s="21">
        <f t="shared" si="1"/>
        <v>22.533677340788504</v>
      </c>
      <c r="F16" s="21">
        <f t="shared" ca="1" si="1"/>
        <v>1253.6099915819102</v>
      </c>
      <c r="G16" s="21">
        <f t="shared" si="1"/>
        <v>0</v>
      </c>
      <c r="H16" s="21">
        <f t="shared" si="1"/>
        <v>0</v>
      </c>
      <c r="I16" s="21">
        <f t="shared" si="1"/>
        <v>0</v>
      </c>
      <c r="J16" s="21">
        <f t="shared" si="1"/>
        <v>7.2112255617600759E-3</v>
      </c>
      <c r="K16" s="21">
        <f t="shared" si="1"/>
        <v>0</v>
      </c>
      <c r="L16" s="21">
        <f t="shared" ca="1" si="1"/>
        <v>0</v>
      </c>
      <c r="M16" s="21">
        <f t="shared" si="1"/>
        <v>0</v>
      </c>
      <c r="N16" s="21">
        <f t="shared" ca="1" si="1"/>
        <v>265.21342007192118</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0.21131260417392658</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2023.6337914007665</v>
      </c>
      <c r="C20" s="23">
        <f t="shared" ref="C20:P20" ca="1" si="2">C16*C18</f>
        <v>0</v>
      </c>
      <c r="D20" s="23">
        <f t="shared" ca="1" si="2"/>
        <v>2121.6601008109983</v>
      </c>
      <c r="E20" s="23">
        <f t="shared" si="2"/>
        <v>5.1151447563589905</v>
      </c>
      <c r="F20" s="23">
        <f t="shared" ca="1" si="2"/>
        <v>334.71386775237005</v>
      </c>
      <c r="G20" s="23">
        <f t="shared" si="2"/>
        <v>0</v>
      </c>
      <c r="H20" s="23">
        <f t="shared" si="2"/>
        <v>0</v>
      </c>
      <c r="I20" s="23">
        <f t="shared" si="2"/>
        <v>0</v>
      </c>
      <c r="J20" s="23">
        <f t="shared" si="2"/>
        <v>2.5527738488630666E-3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4480.2151758820501</v>
      </c>
      <c r="C26" s="39">
        <f>IF(ISERROR(B26*3.6/1000000/'E Balans VL '!Z12*100),0,B26*3.6/1000000/'E Balans VL '!Z12*100)</f>
        <v>0.12635393217034666</v>
      </c>
      <c r="D26" s="233" t="s">
        <v>691</v>
      </c>
      <c r="F26" s="6"/>
    </row>
    <row r="27" spans="1:18">
      <c r="A27" s="228" t="s">
        <v>52</v>
      </c>
      <c r="B27" s="33">
        <f>IF(ISERROR(TER_horeca_ele_kWh/1000),0,TER_horeca_ele_kWh/1000)</f>
        <v>1069.2805674346901</v>
      </c>
      <c r="C27" s="39">
        <f>IF(ISERROR(B27*3.6/1000000/'E Balans VL '!Z9*100),0,B27*3.6/1000000/'E Balans VL '!Z9*100)</f>
        <v>7.9274018308642683E-2</v>
      </c>
      <c r="D27" s="233" t="s">
        <v>691</v>
      </c>
      <c r="F27" s="6"/>
    </row>
    <row r="28" spans="1:18">
      <c r="A28" s="168" t="s">
        <v>51</v>
      </c>
      <c r="B28" s="33">
        <f>IF(ISERROR(TER_handel_ele_kWh/1000),0,TER_handel_ele_kWh/1000)</f>
        <v>3130.6122601832599</v>
      </c>
      <c r="C28" s="39">
        <f>IF(ISERROR(B28*3.6/1000000/'E Balans VL '!Z13*100),0,B28*3.6/1000000/'E Balans VL '!Z13*100)</f>
        <v>9.378570000653999E-2</v>
      </c>
      <c r="D28" s="233" t="s">
        <v>691</v>
      </c>
      <c r="F28" s="6"/>
    </row>
    <row r="29" spans="1:18">
      <c r="A29" s="228" t="s">
        <v>50</v>
      </c>
      <c r="B29" s="33">
        <f>IF(ISERROR(TER_gezond_ele_kWh/1000),0,TER_gezond_ele_kWh/1000)</f>
        <v>87.369130591382401</v>
      </c>
      <c r="C29" s="39">
        <f>IF(ISERROR(B29*3.6/1000000/'E Balans VL '!Z10*100),0,B29*3.6/1000000/'E Balans VL '!Z10*100)</f>
        <v>8.6390938770416672E-3</v>
      </c>
      <c r="D29" s="233" t="s">
        <v>691</v>
      </c>
      <c r="F29" s="6"/>
    </row>
    <row r="30" spans="1:18">
      <c r="A30" s="228" t="s">
        <v>49</v>
      </c>
      <c r="B30" s="33">
        <f>IF(ISERROR(TER_ander_ele_kWh/1000),0,TER_ander_ele_kWh/1000)</f>
        <v>730.19004837572299</v>
      </c>
      <c r="C30" s="39">
        <f>IF(ISERROR(B30*3.6/1000000/'E Balans VL '!Z14*100),0,B30*3.6/1000000/'E Balans VL '!Z14*100)</f>
        <v>2.9534029604478124E-2</v>
      </c>
      <c r="D30" s="233" t="s">
        <v>691</v>
      </c>
      <c r="F30" s="6"/>
    </row>
    <row r="31" spans="1:18">
      <c r="A31" s="228" t="s">
        <v>54</v>
      </c>
      <c r="B31" s="33">
        <f>IF(ISERROR(TER_onderwijs_ele_kWh/1000),0,TER_onderwijs_ele_kWh/1000)</f>
        <v>78.826369877552594</v>
      </c>
      <c r="C31" s="39">
        <f>IF(ISERROR(B31*3.6/1000000/'E Balans VL '!Z11*100),0,B31*3.6/1000000/'E Balans VL '!Z11*100)</f>
        <v>2.165705124796052E-2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54770.739303006696</v>
      </c>
      <c r="C5" s="17">
        <f>IF(ISERROR('Eigen informatie GS &amp; warmtenet'!B61),0,'Eigen informatie GS &amp; warmtenet'!B61)</f>
        <v>0</v>
      </c>
      <c r="D5" s="30">
        <f>SUM(D6:D15)</f>
        <v>19223.269213549745</v>
      </c>
      <c r="E5" s="17">
        <f>SUM(E6:E15)</f>
        <v>90.471128709707642</v>
      </c>
      <c r="F5" s="17">
        <f>SUM(F6:F15)</f>
        <v>1237.4500071246314</v>
      </c>
      <c r="G5" s="18"/>
      <c r="H5" s="17"/>
      <c r="I5" s="17"/>
      <c r="J5" s="17">
        <f>SUM(J6:J15)</f>
        <v>0.29604088165529419</v>
      </c>
      <c r="K5" s="17"/>
      <c r="L5" s="17"/>
      <c r="M5" s="17"/>
      <c r="N5" s="17">
        <f>SUM(N6:N15)</f>
        <v>1731.5329629358482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162.82748051757198</v>
      </c>
      <c r="C8" s="33"/>
      <c r="D8" s="37">
        <f>IF( ISERROR(IND_metaal_Gas_kWH/1000),0,IND_metaal_Gas_kWH/1000)*0.903</f>
        <v>43.643989853656983</v>
      </c>
      <c r="E8" s="33">
        <f>C30*'E Balans VL '!I18/100/3.6*1000000</f>
        <v>0.82100456679862188</v>
      </c>
      <c r="F8" s="33">
        <f>C30*'E Balans VL '!L18/100/3.6*1000000+C30*'E Balans VL '!N18/100/3.6*1000000</f>
        <v>11.124706198942846</v>
      </c>
      <c r="G8" s="34"/>
      <c r="H8" s="33"/>
      <c r="I8" s="33"/>
      <c r="J8" s="40">
        <f>C30*'E Balans VL '!D18/100/3.6*1000000+C30*'E Balans VL '!E18/100/3.6*1000000</f>
        <v>0.14436045084184512</v>
      </c>
      <c r="K8" s="33"/>
      <c r="L8" s="33"/>
      <c r="M8" s="33"/>
      <c r="N8" s="33">
        <f>C30*'E Balans VL '!Y18/100/3.6*1000000</f>
        <v>2.1639781823826589</v>
      </c>
      <c r="O8" s="33"/>
      <c r="P8" s="33"/>
      <c r="R8" s="32"/>
    </row>
    <row r="9" spans="1:18">
      <c r="A9" s="6" t="s">
        <v>32</v>
      </c>
      <c r="B9" s="37">
        <f t="shared" si="0"/>
        <v>561.03831803485491</v>
      </c>
      <c r="C9" s="33"/>
      <c r="D9" s="37">
        <f>IF( ISERROR(IND_andere_gas_kWh/1000),0,IND_andere_gas_kWh/1000)*0.903</f>
        <v>327.88023368982033</v>
      </c>
      <c r="E9" s="33">
        <f>C31*'E Balans VL '!I19/100/3.6*1000000</f>
        <v>1.7685253760964716</v>
      </c>
      <c r="F9" s="33">
        <f>C31*'E Balans VL '!L19/100/3.6*1000000+C31*'E Balans VL '!N19/100/3.6*1000000</f>
        <v>343.44406175223253</v>
      </c>
      <c r="G9" s="34"/>
      <c r="H9" s="33"/>
      <c r="I9" s="33"/>
      <c r="J9" s="40">
        <f>C31*'E Balans VL '!D19/100/3.6*1000000+C31*'E Balans VL '!E19/100/3.6*1000000</f>
        <v>0</v>
      </c>
      <c r="K9" s="33"/>
      <c r="L9" s="33"/>
      <c r="M9" s="33"/>
      <c r="N9" s="33">
        <f>C31*'E Balans VL '!Y19/100/3.6*1000000</f>
        <v>23.525098464734931</v>
      </c>
      <c r="O9" s="33"/>
      <c r="P9" s="33"/>
      <c r="R9" s="32"/>
    </row>
    <row r="10" spans="1:18">
      <c r="A10" s="6" t="s">
        <v>40</v>
      </c>
      <c r="B10" s="37">
        <f t="shared" si="0"/>
        <v>53968.332013123902</v>
      </c>
      <c r="C10" s="33"/>
      <c r="D10" s="37">
        <f>IF( ISERROR(IND_voed_gas_kWh/1000),0,IND_voed_gas_kWh/1000)*0.903</f>
        <v>18851.744990006267</v>
      </c>
      <c r="E10" s="33">
        <f>C32*'E Balans VL '!I20/100/3.6*1000000</f>
        <v>86.010364589549425</v>
      </c>
      <c r="F10" s="33">
        <f>C32*'E Balans VL '!L20/100/3.6*1000000+C32*'E Balans VL '!N20/100/3.6*1000000</f>
        <v>876.85429127363204</v>
      </c>
      <c r="G10" s="34"/>
      <c r="H10" s="33"/>
      <c r="I10" s="33"/>
      <c r="J10" s="40">
        <f>C32*'E Balans VL '!D20/100/3.6*1000000+C32*'E Balans VL '!E20/100/3.6*1000000</f>
        <v>0</v>
      </c>
      <c r="K10" s="33"/>
      <c r="L10" s="33"/>
      <c r="M10" s="33"/>
      <c r="N10" s="33">
        <f>C32*'E Balans VL '!Y20/100/3.6*1000000</f>
        <v>1704.5894628965027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4.3032119899507997</v>
      </c>
      <c r="C13" s="33"/>
      <c r="D13" s="37">
        <f>IF( ISERROR(IND_papier_gas_kWh/1000),0,IND_papier_gas_kWh/1000)*0.903</f>
        <v>0</v>
      </c>
      <c r="E13" s="33">
        <f>C35*'E Balans VL '!I23/100/3.6*1000000</f>
        <v>0</v>
      </c>
      <c r="F13" s="33">
        <f>C35*'E Balans VL '!L23/100/3.6*1000000+C35*'E Balans VL '!N23/100/3.6*1000000</f>
        <v>1.8643515282343523E-4</v>
      </c>
      <c r="G13" s="34"/>
      <c r="H13" s="33"/>
      <c r="I13" s="33"/>
      <c r="J13" s="40">
        <f>C35*'E Balans VL '!D23/100/3.6*1000000+C35*'E Balans VL '!E23/100/3.6*1000000</f>
        <v>1.1857401346876425E-4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74.238279340416</v>
      </c>
      <c r="C15" s="33"/>
      <c r="D15" s="37">
        <f>IF( ISERROR(IND_rest_gas_kWh/1000),0,IND_rest_gas_kWh/1000)*0.903</f>
        <v>0</v>
      </c>
      <c r="E15" s="33">
        <f>C37*'E Balans VL '!I15/100/3.6*1000000</f>
        <v>1.8712341772631191</v>
      </c>
      <c r="F15" s="33">
        <f>C37*'E Balans VL '!L15/100/3.6*1000000+C37*'E Balans VL '!N15/100/3.6*1000000</f>
        <v>6.0267614646714058</v>
      </c>
      <c r="G15" s="34"/>
      <c r="H15" s="33"/>
      <c r="I15" s="33"/>
      <c r="J15" s="40">
        <f>C37*'E Balans VL '!D15/100/3.6*1000000+C37*'E Balans VL '!E15/100/3.6*1000000</f>
        <v>0.15156185679998027</v>
      </c>
      <c r="K15" s="33"/>
      <c r="L15" s="33"/>
      <c r="M15" s="33"/>
      <c r="N15" s="33">
        <f>C37*'E Balans VL '!Y15/100/3.6*1000000</f>
        <v>1.2544233922279562</v>
      </c>
      <c r="O15" s="33"/>
      <c r="P15" s="33"/>
      <c r="R15" s="32"/>
    </row>
    <row r="16" spans="1:18">
      <c r="A16" s="16" t="s">
        <v>473</v>
      </c>
      <c r="B16" s="243">
        <f>'lokale energieproductie'!N39+'lokale energieproductie'!N32</f>
        <v>0</v>
      </c>
      <c r="C16" s="243">
        <f>'lokale energieproductie'!O39+'lokale energieproductie'!O32</f>
        <v>0</v>
      </c>
      <c r="D16" s="304">
        <f>('lokale energieproductie'!P32+'lokale energieproductie'!P39)*(-1)</f>
        <v>0</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54770.739303006696</v>
      </c>
      <c r="C18" s="21">
        <f>C5+C16</f>
        <v>0</v>
      </c>
      <c r="D18" s="21">
        <f>MAX((D5+D16),0)</f>
        <v>19223.269213549745</v>
      </c>
      <c r="E18" s="21">
        <f>MAX((E5+E16),0)</f>
        <v>90.471128709707642</v>
      </c>
      <c r="F18" s="21">
        <f>MAX((F5+F16),0)</f>
        <v>1237.4500071246314</v>
      </c>
      <c r="G18" s="21"/>
      <c r="H18" s="21"/>
      <c r="I18" s="21"/>
      <c r="J18" s="21">
        <f>MAX((J5+J16),0)</f>
        <v>0.29604088165529419</v>
      </c>
      <c r="K18" s="21"/>
      <c r="L18" s="21">
        <f>MAX((L5+L16),0)</f>
        <v>0</v>
      </c>
      <c r="M18" s="21"/>
      <c r="N18" s="21">
        <f>MAX((N5+N16),0)</f>
        <v>1731.5329629358482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0.21131260417392658</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11573.747554649577</v>
      </c>
      <c r="C22" s="23">
        <f ca="1">C18*C20</f>
        <v>0</v>
      </c>
      <c r="D22" s="23">
        <f>D18*D20</f>
        <v>3883.1003811370488</v>
      </c>
      <c r="E22" s="23">
        <f>E18*E20</f>
        <v>20.536946217103637</v>
      </c>
      <c r="F22" s="23">
        <f>F18*F20</f>
        <v>330.39915190227657</v>
      </c>
      <c r="G22" s="23"/>
      <c r="H22" s="23"/>
      <c r="I22" s="23"/>
      <c r="J22" s="23">
        <f>J18*J20</f>
        <v>0.10479847210597414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162.82748051757198</v>
      </c>
      <c r="C30" s="39">
        <f>IF(ISERROR(B30*3.6/1000000/'E Balans VL '!Z18*100),0,B30*3.6/1000000/'E Balans VL '!Z18*100)</f>
        <v>8.082389160663157E-3</v>
      </c>
      <c r="D30" s="233" t="s">
        <v>691</v>
      </c>
    </row>
    <row r="31" spans="1:18">
      <c r="A31" s="6" t="s">
        <v>32</v>
      </c>
      <c r="B31" s="37">
        <f>IF( ISERROR(IND_ander_ele_kWh/1000),0,IND_ander_ele_kWh/1000)</f>
        <v>561.03831803485491</v>
      </c>
      <c r="C31" s="39">
        <f>IF(ISERROR(B31*3.6/1000000/'E Balans VL '!Z19*100),0,B31*3.6/1000000/'E Balans VL '!Z19*100)</f>
        <v>1.8932168295447884E-2</v>
      </c>
      <c r="D31" s="233" t="s">
        <v>691</v>
      </c>
    </row>
    <row r="32" spans="1:18">
      <c r="A32" s="168" t="s">
        <v>40</v>
      </c>
      <c r="B32" s="37">
        <f>IF( ISERROR(IND_voed_ele_kWh/1000),0,IND_voed_ele_kWh/1000)</f>
        <v>53968.332013123902</v>
      </c>
      <c r="C32" s="39">
        <f>IF(ISERROR(B32*3.6/1000000/'E Balans VL '!Z20*100),0,B32*3.6/1000000/'E Balans VL '!Z20*100)</f>
        <v>1.2674092054170332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4.3032119899507997</v>
      </c>
      <c r="C35" s="39">
        <f>IF(ISERROR(B35*3.6/1000000/'E Balans VL '!Z22*100),0,B35*3.6/1000000/'E Balans VL '!Z22*100)</f>
        <v>6.1049994921133228E-4</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74.238279340416</v>
      </c>
      <c r="C37" s="39">
        <f>IF(ISERROR(B37*3.6/1000000/'E Balans VL '!Z15*100),0,B37*3.6/1000000/'E Balans VL '!Z15*100)</f>
        <v>2.7821011978561191E-4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4795.9434322859806</v>
      </c>
      <c r="C5" s="17">
        <f>'Eigen informatie GS &amp; warmtenet'!B62</f>
        <v>0</v>
      </c>
      <c r="D5" s="30">
        <f>IF(ISERROR(SUM(LB_lb_gas_kWh,LB_rest_gas_kWh)/1000),0,SUM(LB_lb_gas_kWh,LB_rest_gas_kWh)/1000)*0.903</f>
        <v>13583.619881852044</v>
      </c>
      <c r="E5" s="17">
        <f>B17*'E Balans VL '!I25/3.6*1000000/100</f>
        <v>178.85540033442589</v>
      </c>
      <c r="F5" s="17">
        <f>B17*('E Balans VL '!L25/3.6*1000000+'E Balans VL '!N25/3.6*1000000)/100</f>
        <v>15559.893719826583</v>
      </c>
      <c r="G5" s="18"/>
      <c r="H5" s="17"/>
      <c r="I5" s="17"/>
      <c r="J5" s="17">
        <f>('E Balans VL '!D25+'E Balans VL '!E25)/3.6*1000000*landbouw!B17/100</f>
        <v>1258.9588281024128</v>
      </c>
      <c r="K5" s="17"/>
      <c r="L5" s="17">
        <f>L6*(-1)</f>
        <v>0</v>
      </c>
      <c r="M5" s="17"/>
      <c r="N5" s="17">
        <f>N6*(-1)</f>
        <v>0</v>
      </c>
      <c r="O5" s="17"/>
      <c r="P5" s="17"/>
      <c r="R5" s="32"/>
    </row>
    <row r="6" spans="1:18">
      <c r="A6" s="16" t="s">
        <v>473</v>
      </c>
      <c r="B6" s="17" t="s">
        <v>210</v>
      </c>
      <c r="C6" s="17">
        <f>'lokale energieproductie'!O41+'lokale energieproductie'!O34</f>
        <v>22387.5</v>
      </c>
      <c r="D6" s="304">
        <f>('lokale energieproductie'!P34+'lokale energieproductie'!P41)*(-1)</f>
        <v>-44775</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4795.9434322859806</v>
      </c>
      <c r="C8" s="21">
        <f>C5+C6</f>
        <v>22387.5</v>
      </c>
      <c r="D8" s="21">
        <f>MAX((D5+D6),0)</f>
        <v>0</v>
      </c>
      <c r="E8" s="21">
        <f>MAX((E5+E6),0)</f>
        <v>178.85540033442589</v>
      </c>
      <c r="F8" s="21">
        <f>MAX((F5+F6),0)</f>
        <v>15559.893719826583</v>
      </c>
      <c r="G8" s="21"/>
      <c r="H8" s="21"/>
      <c r="I8" s="21"/>
      <c r="J8" s="21">
        <f>MAX((J5+J6),0)</f>
        <v>1258.9588281024128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0.21131260417392658</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1013.4432961471903</v>
      </c>
      <c r="C12" s="23">
        <f ca="1">C8*C10</f>
        <v>5320.3235294117649</v>
      </c>
      <c r="D12" s="23">
        <f>D8*D10</f>
        <v>0</v>
      </c>
      <c r="E12" s="23">
        <f>E8*E10</f>
        <v>40.60017587591468</v>
      </c>
      <c r="F12" s="23">
        <f>F8*F10</f>
        <v>4154.4916231936977</v>
      </c>
      <c r="G12" s="23"/>
      <c r="H12" s="23"/>
      <c r="I12" s="23"/>
      <c r="J12" s="23">
        <f>J8*J10</f>
        <v>445.67142514825412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0.65871031532206759</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635.79545345624058</v>
      </c>
      <c r="C26" s="243">
        <f>B26*'GWP N2O_CH4'!B5</f>
        <v>13351.704522581053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487.51385061795298</v>
      </c>
      <c r="C27" s="243">
        <f>B27*'GWP N2O_CH4'!B5</f>
        <v>10237.790862977012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11.287198916983092</v>
      </c>
      <c r="C28" s="243">
        <f>B28*'GWP N2O_CH4'!B4</f>
        <v>3499.0316642647585</v>
      </c>
      <c r="D28" s="50"/>
    </row>
    <row r="29" spans="1:4">
      <c r="A29" s="41" t="s">
        <v>272</v>
      </c>
      <c r="B29" s="243">
        <f>B34*'ha_N2O bodem landbouw'!B4</f>
        <v>27.526128227115734</v>
      </c>
      <c r="C29" s="243">
        <f>B29*'GWP N2O_CH4'!B4</f>
        <v>8533.0997504058778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6.2732832324035722E-3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3.304800980275105E-4</v>
      </c>
      <c r="C5" s="434" t="s">
        <v>210</v>
      </c>
      <c r="D5" s="419">
        <f>SUM(D6:D11)</f>
        <v>6.4643122565871875E-4</v>
      </c>
      <c r="E5" s="419">
        <f>SUM(E6:E11)</f>
        <v>3.5278851484612915E-4</v>
      </c>
      <c r="F5" s="432" t="s">
        <v>210</v>
      </c>
      <c r="G5" s="419">
        <f>SUM(G6:G11)</f>
        <v>0.1502621154772536</v>
      </c>
      <c r="H5" s="419">
        <f>SUM(H6:H11)</f>
        <v>3.9161736810894132E-2</v>
      </c>
      <c r="I5" s="434" t="s">
        <v>210</v>
      </c>
      <c r="J5" s="434" t="s">
        <v>210</v>
      </c>
      <c r="K5" s="434" t="s">
        <v>210</v>
      </c>
      <c r="L5" s="434" t="s">
        <v>210</v>
      </c>
      <c r="M5" s="419">
        <f>SUM(M6:M11)</f>
        <v>1.1182356173788542E-2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1.6493000980823453E-4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2.8659649999388589E-4</v>
      </c>
      <c r="E6" s="885">
        <f>vkm_GW_PW*SUMIFS(TableVerdeelsleutelVkm[LPG],TableVerdeelsleutelVkm[Voertuigtype],"Lichte voertuigen")*SUMIFS(TableECFTransport[EnergieConsumptieFactor (PJ per km)],TableECFTransport[Index],CONCATENATE($A6,"_LPG_LPG"))</f>
        <v>1.593663495696316E-4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4.7891103291848945E-2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1.7461256361602454E-2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3.9101932114768796E-3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6.5577798096979025E-7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2.7141009747031864E-2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2.7611001705113417E-7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1.5280806921381964E-3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1.5576281552644525E-4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3.4752898315593123E-4</v>
      </c>
      <c r="E8" s="422">
        <f>vkm_NGW_PW*SUMIFS(TableVerdeelsleutelVkm[LPG],TableVerdeelsleutelVkm[Voertuigtype],"Lichte voertuigen")*SUMIFS(TableECFTransport[EnergieConsumptieFactor (PJ per km)],TableECFTransport[Index],CONCATENATE($A8,"_LPG_LPG"))</f>
        <v>1.8509321632067768E-4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5.1189183461496389E-2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2.0914386346575029E-2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4.335935041932964E-3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3.6523197455314709E-7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1.9465934882142714E-2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1.8561393162396039E-7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1.0959612813947156E-3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8.7074526548605038E-6</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1.2305742508901614E-5</v>
      </c>
      <c r="E10" s="422">
        <f>vkm_SW_PW*SUMIFS(TableVerdeelsleutelVkm[LPG],TableVerdeelsleutelVkm[Voertuigtype],"Lichte voertuigen")*SUMIFS(TableECFTransport[EnergieConsumptieFactor (PJ per km)],TableECFTransport[Index],CONCATENATE($A10,"_LPG_LPG"))</f>
        <v>8.3289489558198337E-6</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2.2754310571892517E-3</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7.8560689242284103E-4</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1.8272305021184275E-4</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5.8810082447286205E-8</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2.2994530375444358E-3</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2.548634514027329E-8</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1.2946289663394445E-4</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91.800027229864028</v>
      </c>
      <c r="C14" s="21"/>
      <c r="D14" s="21">
        <f t="shared" ref="D14:M14" si="0">((D5)*10^9/3600)+D12</f>
        <v>179.56422934964408</v>
      </c>
      <c r="E14" s="21">
        <f t="shared" si="0"/>
        <v>97.996809679480322</v>
      </c>
      <c r="F14" s="21"/>
      <c r="G14" s="21">
        <f t="shared" si="0"/>
        <v>41739.476521459328</v>
      </c>
      <c r="H14" s="21">
        <f t="shared" si="0"/>
        <v>10878.26022524837</v>
      </c>
      <c r="I14" s="21"/>
      <c r="J14" s="21"/>
      <c r="K14" s="21"/>
      <c r="L14" s="21"/>
      <c r="M14" s="21">
        <f t="shared" si="0"/>
        <v>3106.210048274595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0.21131260417392658</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19.398502817179939</v>
      </c>
      <c r="C18" s="23"/>
      <c r="D18" s="23">
        <f t="shared" ref="D18:M18" si="1">D14*D16</f>
        <v>36.271974328628104</v>
      </c>
      <c r="E18" s="23">
        <f t="shared" si="1"/>
        <v>22.245275797242034</v>
      </c>
      <c r="F18" s="23"/>
      <c r="G18" s="23">
        <f t="shared" si="1"/>
        <v>11144.440231229641</v>
      </c>
      <c r="H18" s="23">
        <f t="shared" si="1"/>
        <v>2708.686796086844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4.5928074422176122E-5</v>
      </c>
      <c r="C50" s="315">
        <f t="shared" ref="C50:P50" si="2">SUM(C51:C52)</f>
        <v>0</v>
      </c>
      <c r="D50" s="315">
        <f t="shared" si="2"/>
        <v>0</v>
      </c>
      <c r="E50" s="315">
        <f t="shared" si="2"/>
        <v>0</v>
      </c>
      <c r="F50" s="315">
        <f t="shared" si="2"/>
        <v>0</v>
      </c>
      <c r="G50" s="315">
        <f t="shared" si="2"/>
        <v>3.2782631548751179E-3</v>
      </c>
      <c r="H50" s="315">
        <f t="shared" si="2"/>
        <v>0</v>
      </c>
      <c r="I50" s="315">
        <f t="shared" si="2"/>
        <v>0</v>
      </c>
      <c r="J50" s="315">
        <f t="shared" si="2"/>
        <v>0</v>
      </c>
      <c r="K50" s="315">
        <f t="shared" si="2"/>
        <v>0</v>
      </c>
      <c r="L50" s="315">
        <f t="shared" si="2"/>
        <v>0</v>
      </c>
      <c r="M50" s="315">
        <f t="shared" si="2"/>
        <v>1.8102108167436176E-4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4.5928074422176122E-5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3.2782631548751179E-3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1.8102108167436176E-4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12.757798450604477</v>
      </c>
      <c r="C54" s="21">
        <f t="shared" ref="C54:P54" si="3">(C50)*10^9/3600</f>
        <v>0</v>
      </c>
      <c r="D54" s="21">
        <f t="shared" si="3"/>
        <v>0</v>
      </c>
      <c r="E54" s="21">
        <f t="shared" si="3"/>
        <v>0</v>
      </c>
      <c r="F54" s="21">
        <f t="shared" si="3"/>
        <v>0</v>
      </c>
      <c r="G54" s="21">
        <f t="shared" si="3"/>
        <v>910.62865413197721</v>
      </c>
      <c r="H54" s="21">
        <f t="shared" si="3"/>
        <v>0</v>
      </c>
      <c r="I54" s="21">
        <f t="shared" si="3"/>
        <v>0</v>
      </c>
      <c r="J54" s="21">
        <f t="shared" si="3"/>
        <v>0</v>
      </c>
      <c r="K54" s="21">
        <f t="shared" si="3"/>
        <v>0</v>
      </c>
      <c r="L54" s="21">
        <f t="shared" si="3"/>
        <v>0</v>
      </c>
      <c r="M54" s="21">
        <f t="shared" si="3"/>
        <v>50.283633798433819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0.21131260417392658</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2.6958836141233178</v>
      </c>
      <c r="C58" s="23">
        <f t="shared" ref="C58:P58" ca="1" si="4">C54*C56</f>
        <v>0</v>
      </c>
      <c r="D58" s="23">
        <f t="shared" si="4"/>
        <v>0</v>
      </c>
      <c r="E58" s="23">
        <f t="shared" si="4"/>
        <v>0</v>
      </c>
      <c r="F58" s="23">
        <f t="shared" si="4"/>
        <v>0</v>
      </c>
      <c r="G58" s="23">
        <f t="shared" si="4"/>
        <v>243.13785065323793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85" zoomScale="65" zoomScaleNormal="65" workbookViewId="0">
      <selection activeCell="M30" sqref="M30"/>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4849.8772518786691</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N31</f>
        <v>15671.25</v>
      </c>
      <c r="C8" s="544">
        <f>B50</f>
        <v>18436.764705882353</v>
      </c>
      <c r="D8" s="545"/>
      <c r="E8" s="545">
        <f>E50</f>
        <v>0</v>
      </c>
      <c r="F8" s="546"/>
      <c r="G8" s="547"/>
      <c r="H8" s="545">
        <f>I50</f>
        <v>0</v>
      </c>
      <c r="I8" s="545">
        <f>G50+F50</f>
        <v>0</v>
      </c>
      <c r="J8" s="545">
        <f>H50+D50+C50</f>
        <v>0</v>
      </c>
      <c r="K8" s="545"/>
      <c r="L8" s="545"/>
      <c r="M8" s="545"/>
      <c r="N8" s="548"/>
      <c r="O8" s="549">
        <f>C8*$C$12+D8*$D$12+E8*$E$12+F8*$F$12+G8*$G$12+H8*$H$12+I8*$I$12+J8*$J$12</f>
        <v>3724.2264705882358</v>
      </c>
      <c r="P8" s="1253"/>
      <c r="Q8" s="1254"/>
      <c r="S8" s="539"/>
      <c r="T8" s="1241"/>
      <c r="U8" s="1241"/>
    </row>
    <row r="9" spans="1:21" s="530" customFormat="1" ht="17.45" customHeight="1" thickBot="1">
      <c r="A9" s="550" t="s">
        <v>243</v>
      </c>
      <c r="B9" s="551">
        <f>N38+'Eigen informatie GS &amp; warmtenet'!B12</f>
        <v>0</v>
      </c>
      <c r="C9" s="55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20521.127251878668</v>
      </c>
      <c r="C10" s="559">
        <f t="shared" ref="C10:L10" si="0">SUM(C8:C9)</f>
        <v>18436.764705882353</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3724.2264705882358</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O31</f>
        <v>22387.5</v>
      </c>
      <c r="C17" s="575">
        <f>B51</f>
        <v>26338.235294117647</v>
      </c>
      <c r="D17" s="576"/>
      <c r="E17" s="576">
        <f>E51</f>
        <v>0</v>
      </c>
      <c r="F17" s="577"/>
      <c r="G17" s="578"/>
      <c r="H17" s="575">
        <f>I51</f>
        <v>0</v>
      </c>
      <c r="I17" s="576">
        <f>G51+F51</f>
        <v>0</v>
      </c>
      <c r="J17" s="576">
        <f>H51+D51+C51</f>
        <v>0</v>
      </c>
      <c r="K17" s="576"/>
      <c r="L17" s="576"/>
      <c r="M17" s="576"/>
      <c r="N17" s="961"/>
      <c r="O17" s="579">
        <f>C17*$C$22+E17*$E$22+H17*$H$22+I17*$I$22+J17*$J$22+D17*$D$22+F17*$F$22+G17*$G$22+K17*$K$22+L17*$L$22</f>
        <v>5320.3235294117649</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22387.5</v>
      </c>
      <c r="C20" s="558">
        <f>SUM(C17:C19)</f>
        <v>26338.235294117647</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5320.3235294117649</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33040</v>
      </c>
      <c r="C28" s="786">
        <v>8920</v>
      </c>
      <c r="D28" s="636" t="s">
        <v>883</v>
      </c>
      <c r="E28" s="635" t="s">
        <v>884</v>
      </c>
      <c r="F28" s="635" t="s">
        <v>885</v>
      </c>
      <c r="G28" s="635" t="s">
        <v>886</v>
      </c>
      <c r="H28" s="635" t="s">
        <v>887</v>
      </c>
      <c r="I28" s="635" t="s">
        <v>884</v>
      </c>
      <c r="J28" s="785">
        <v>40584</v>
      </c>
      <c r="K28" s="785">
        <v>40584</v>
      </c>
      <c r="L28" s="635" t="s">
        <v>888</v>
      </c>
      <c r="M28" s="635">
        <v>1477</v>
      </c>
      <c r="N28" s="635">
        <v>6646.5</v>
      </c>
      <c r="O28" s="635">
        <v>9495</v>
      </c>
      <c r="P28" s="635">
        <v>18990</v>
      </c>
      <c r="Q28" s="635">
        <v>0</v>
      </c>
      <c r="R28" s="635">
        <v>0</v>
      </c>
      <c r="S28" s="635">
        <v>0</v>
      </c>
      <c r="T28" s="635">
        <v>0</v>
      </c>
      <c r="U28" s="635">
        <v>0</v>
      </c>
      <c r="V28" s="635">
        <v>0</v>
      </c>
      <c r="W28" s="635">
        <v>0</v>
      </c>
      <c r="X28" s="635">
        <v>10</v>
      </c>
      <c r="Y28" s="635" t="s">
        <v>111</v>
      </c>
      <c r="Z28" s="637" t="s">
        <v>111</v>
      </c>
    </row>
    <row r="29" spans="1:26" s="589" customFormat="1" ht="25.5">
      <c r="A29" s="588"/>
      <c r="B29" s="786">
        <v>33040</v>
      </c>
      <c r="C29" s="786">
        <v>8920</v>
      </c>
      <c r="D29" s="636" t="s">
        <v>889</v>
      </c>
      <c r="E29" s="635" t="s">
        <v>890</v>
      </c>
      <c r="F29" s="635" t="s">
        <v>891</v>
      </c>
      <c r="G29" s="635" t="s">
        <v>886</v>
      </c>
      <c r="H29" s="635" t="s">
        <v>887</v>
      </c>
      <c r="I29" s="635" t="s">
        <v>890</v>
      </c>
      <c r="J29" s="785">
        <v>41411</v>
      </c>
      <c r="K29" s="785">
        <v>41474</v>
      </c>
      <c r="L29" s="635" t="s">
        <v>888</v>
      </c>
      <c r="M29" s="635">
        <v>5.5</v>
      </c>
      <c r="N29" s="635">
        <v>24.75</v>
      </c>
      <c r="O29" s="635">
        <v>35.357142857142861</v>
      </c>
      <c r="P29" s="635">
        <v>70.714285714285722</v>
      </c>
      <c r="Q29" s="635">
        <v>0</v>
      </c>
      <c r="R29" s="635">
        <v>0</v>
      </c>
      <c r="S29" s="635">
        <v>0</v>
      </c>
      <c r="T29" s="635">
        <v>0</v>
      </c>
      <c r="U29" s="635">
        <v>0</v>
      </c>
      <c r="V29" s="635">
        <v>0</v>
      </c>
      <c r="W29" s="635">
        <v>0</v>
      </c>
      <c r="X29" s="635">
        <v>10</v>
      </c>
      <c r="Y29" s="635" t="s">
        <v>111</v>
      </c>
      <c r="Z29" s="637" t="s">
        <v>111</v>
      </c>
    </row>
    <row r="30" spans="1:26" s="589" customFormat="1" ht="25.5">
      <c r="A30" s="588"/>
      <c r="B30" s="786">
        <v>33040</v>
      </c>
      <c r="C30" s="786">
        <v>8920</v>
      </c>
      <c r="D30" s="636" t="s">
        <v>892</v>
      </c>
      <c r="E30" s="635" t="s">
        <v>893</v>
      </c>
      <c r="F30" s="635" t="s">
        <v>894</v>
      </c>
      <c r="G30" s="635" t="s">
        <v>895</v>
      </c>
      <c r="H30" s="635" t="s">
        <v>887</v>
      </c>
      <c r="I30" s="635" t="s">
        <v>896</v>
      </c>
      <c r="J30" s="785">
        <v>43398</v>
      </c>
      <c r="K30" s="785">
        <v>43398</v>
      </c>
      <c r="L30" s="635" t="s">
        <v>897</v>
      </c>
      <c r="M30" s="635">
        <v>2000</v>
      </c>
      <c r="N30" s="635">
        <v>9000</v>
      </c>
      <c r="O30" s="635">
        <v>12857.142857142857</v>
      </c>
      <c r="P30" s="635">
        <v>25714.285714285717</v>
      </c>
      <c r="Q30" s="635">
        <v>0</v>
      </c>
      <c r="R30" s="635">
        <v>0</v>
      </c>
      <c r="S30" s="635">
        <v>0</v>
      </c>
      <c r="T30" s="635">
        <v>0</v>
      </c>
      <c r="U30" s="635">
        <v>0</v>
      </c>
      <c r="V30" s="635">
        <v>0</v>
      </c>
      <c r="W30" s="635">
        <v>0</v>
      </c>
      <c r="X30" s="635">
        <v>10</v>
      </c>
      <c r="Y30" s="635" t="s">
        <v>111</v>
      </c>
      <c r="Z30" s="637" t="s">
        <v>111</v>
      </c>
    </row>
    <row r="31" spans="1:26" s="569" customFormat="1">
      <c r="A31" s="591" t="s">
        <v>275</v>
      </c>
      <c r="B31" s="592"/>
      <c r="C31" s="592"/>
      <c r="D31" s="592"/>
      <c r="E31" s="592"/>
      <c r="F31" s="592"/>
      <c r="G31" s="592"/>
      <c r="H31" s="592"/>
      <c r="I31" s="592"/>
      <c r="J31" s="592"/>
      <c r="K31" s="592"/>
      <c r="L31" s="593"/>
      <c r="M31" s="593">
        <f>SUM(M28:M30)</f>
        <v>3482.5</v>
      </c>
      <c r="N31" s="593">
        <f>SUM(N28:N30)</f>
        <v>15671.25</v>
      </c>
      <c r="O31" s="593">
        <f>SUM(O28:O30)</f>
        <v>22387.5</v>
      </c>
      <c r="P31" s="593">
        <f>SUM(P28:P30)</f>
        <v>44775</v>
      </c>
      <c r="Q31" s="593">
        <f>SUM(Q28:Q30)</f>
        <v>0</v>
      </c>
      <c r="R31" s="593">
        <f>SUM(R28:R30)</f>
        <v>0</v>
      </c>
      <c r="S31" s="593">
        <f>SUM(S28:S30)</f>
        <v>0</v>
      </c>
      <c r="T31" s="593">
        <f>SUM(T28:T30)</f>
        <v>0</v>
      </c>
      <c r="U31" s="593">
        <f>SUM(U28:U30)</f>
        <v>0</v>
      </c>
      <c r="V31" s="593">
        <f>SUM(V28:V30)</f>
        <v>0</v>
      </c>
      <c r="W31" s="593">
        <f>SUM(W28:W30)</f>
        <v>0</v>
      </c>
      <c r="X31" s="594"/>
      <c r="Y31" s="594"/>
      <c r="Z31" s="595"/>
    </row>
    <row r="32" spans="1:26" s="569" customFormat="1">
      <c r="A32" s="591" t="s">
        <v>282</v>
      </c>
      <c r="B32" s="592"/>
      <c r="C32" s="592"/>
      <c r="D32" s="592"/>
      <c r="E32" s="592"/>
      <c r="F32" s="592"/>
      <c r="G32" s="592"/>
      <c r="H32" s="592"/>
      <c r="I32" s="592"/>
      <c r="J32" s="592"/>
      <c r="K32" s="592"/>
      <c r="L32" s="593"/>
      <c r="M32" s="593">
        <f>SUMIF($Z$28:$Z$30,"industrie",M28:M30)</f>
        <v>0</v>
      </c>
      <c r="N32" s="593">
        <f>SUMIF($Z$28:$Z$30,"industrie",N28:N30)</f>
        <v>0</v>
      </c>
      <c r="O32" s="593">
        <f>SUMIF($Z$28:$Z$30,"industrie",O28:O30)</f>
        <v>0</v>
      </c>
      <c r="P32" s="593">
        <f>SUMIF($Z$28:$Z$30,"industrie",P28:P30)</f>
        <v>0</v>
      </c>
      <c r="Q32" s="593">
        <f>SUMIF($Z$28:$Z$30,"industrie",Q28:Q30)</f>
        <v>0</v>
      </c>
      <c r="R32" s="593">
        <f>SUMIF($Z$28:$Z$30,"industrie",R28:R30)</f>
        <v>0</v>
      </c>
      <c r="S32" s="593">
        <f>SUMIF($Z$28:$Z$30,"industrie",S28:S30)</f>
        <v>0</v>
      </c>
      <c r="T32" s="593">
        <f>SUMIF($Z$28:$Z$30,"industrie",T28:T30)</f>
        <v>0</v>
      </c>
      <c r="U32" s="593">
        <f>SUMIF($Z$28:$Z$30,"industrie",U28:U30)</f>
        <v>0</v>
      </c>
      <c r="V32" s="593">
        <f>SUMIF($Z$28:$Z$30,"industrie",V28:V30)</f>
        <v>0</v>
      </c>
      <c r="W32" s="593">
        <f>SUMIF($Z$28:$Z$30,"industrie",W28:W30)</f>
        <v>0</v>
      </c>
      <c r="X32" s="594"/>
      <c r="Y32" s="594"/>
      <c r="Z32" s="595"/>
    </row>
    <row r="33" spans="1:27" s="569" customFormat="1">
      <c r="A33" s="591" t="s">
        <v>283</v>
      </c>
      <c r="B33" s="592"/>
      <c r="C33" s="592"/>
      <c r="D33" s="592"/>
      <c r="E33" s="592"/>
      <c r="F33" s="592"/>
      <c r="G33" s="592"/>
      <c r="H33" s="592"/>
      <c r="I33" s="592"/>
      <c r="J33" s="592"/>
      <c r="K33" s="592"/>
      <c r="L33" s="593"/>
      <c r="M33" s="593">
        <f ca="1">SUMIF($Z$28:AC30,"tertiair",M28:M30)</f>
        <v>0</v>
      </c>
      <c r="N33" s="593">
        <f ca="1">SUMIF($Z$28:AD30,"tertiair",N28:N30)</f>
        <v>0</v>
      </c>
      <c r="O33" s="593">
        <f ca="1">SUMIF($Z$28:AE30,"tertiair",O28:O30)</f>
        <v>0</v>
      </c>
      <c r="P33" s="593">
        <f ca="1">SUMIF($Z$28:AF30,"tertiair",P28:P30)</f>
        <v>0</v>
      </c>
      <c r="Q33" s="593">
        <f ca="1">SUMIF($Z$28:AG30,"tertiair",Q28:Q30)</f>
        <v>0</v>
      </c>
      <c r="R33" s="593">
        <f ca="1">SUMIF($Z$28:AH30,"tertiair",R28:R30)</f>
        <v>0</v>
      </c>
      <c r="S33" s="593">
        <f ca="1">SUMIF($Z$28:AI30,"tertiair",S28:S30)</f>
        <v>0</v>
      </c>
      <c r="T33" s="593">
        <f ca="1">SUMIF($Z$28:AJ30,"tertiair",T28:T30)</f>
        <v>0</v>
      </c>
      <c r="U33" s="593">
        <f ca="1">SUMIF($Z$28:AK30,"tertiair",U28:U30)</f>
        <v>0</v>
      </c>
      <c r="V33" s="593">
        <f ca="1">SUMIF($Z$28:AL30,"tertiair",V28:V30)</f>
        <v>0</v>
      </c>
      <c r="W33" s="593">
        <f ca="1">SUMIF($Z$28:AM30,"tertiair",W28:W30)</f>
        <v>0</v>
      </c>
      <c r="X33" s="594"/>
      <c r="Y33" s="594"/>
      <c r="Z33" s="595"/>
    </row>
    <row r="34" spans="1:27" s="569" customFormat="1" ht="15.75" thickBot="1">
      <c r="A34" s="596" t="s">
        <v>284</v>
      </c>
      <c r="B34" s="597"/>
      <c r="C34" s="597"/>
      <c r="D34" s="597"/>
      <c r="E34" s="597"/>
      <c r="F34" s="597"/>
      <c r="G34" s="597"/>
      <c r="H34" s="597"/>
      <c r="I34" s="597"/>
      <c r="J34" s="597"/>
      <c r="K34" s="597"/>
      <c r="L34" s="598"/>
      <c r="M34" s="598">
        <f>SUMIF($Z$28:$Z$30,"landbouw",M28:M30)</f>
        <v>3482.5</v>
      </c>
      <c r="N34" s="598">
        <f>SUMIF($Z$28:$Z$30,"landbouw",N28:N30)</f>
        <v>15671.25</v>
      </c>
      <c r="O34" s="598">
        <f>SUMIF($Z$28:$Z$30,"landbouw",O28:O30)</f>
        <v>22387.5</v>
      </c>
      <c r="P34" s="598">
        <f>SUMIF($Z$28:$Z$30,"landbouw",P28:P30)</f>
        <v>44775</v>
      </c>
      <c r="Q34" s="598">
        <f>SUMIF($Z$28:$Z$30,"landbouw",Q28:Q30)</f>
        <v>0</v>
      </c>
      <c r="R34" s="598">
        <f>SUMIF($Z$28:$Z$30,"landbouw",R28:R30)</f>
        <v>0</v>
      </c>
      <c r="S34" s="598">
        <f>SUMIF($Z$28:$Z$30,"landbouw",S28:S30)</f>
        <v>0</v>
      </c>
      <c r="T34" s="598">
        <f>SUMIF($Z$28:$Z$30,"landbouw",T28:T30)</f>
        <v>0</v>
      </c>
      <c r="U34" s="598">
        <f>SUMIF($Z$28:$Z$30,"landbouw",U28:U30)</f>
        <v>0</v>
      </c>
      <c r="V34" s="598">
        <f>SUMIF($Z$28:$Z$30,"landbouw",V28:V30)</f>
        <v>0</v>
      </c>
      <c r="W34" s="598">
        <f>SUMIF($Z$28:$Z$30,"landbouw",W28:W30)</f>
        <v>0</v>
      </c>
      <c r="X34" s="599"/>
      <c r="Y34" s="599"/>
      <c r="Z34" s="600"/>
    </row>
    <row r="35" spans="1:27" s="530" customFormat="1" ht="15.75" thickBot="1">
      <c r="A35" s="601"/>
      <c r="B35" s="602"/>
      <c r="C35" s="602"/>
      <c r="D35" s="602"/>
      <c r="E35" s="602"/>
      <c r="F35" s="602"/>
      <c r="G35" s="602"/>
      <c r="H35" s="602"/>
      <c r="I35" s="602"/>
      <c r="J35" s="602"/>
      <c r="K35" s="602"/>
      <c r="L35" s="585"/>
      <c r="M35" s="585"/>
      <c r="N35" s="585"/>
      <c r="O35" s="586"/>
      <c r="P35" s="586"/>
    </row>
    <row r="36" spans="1:27" s="530" customFormat="1" ht="45">
      <c r="A36" s="603" t="s">
        <v>276</v>
      </c>
      <c r="B36" s="632" t="s">
        <v>89</v>
      </c>
      <c r="C36" s="632" t="s">
        <v>90</v>
      </c>
      <c r="D36" s="632" t="s">
        <v>91</v>
      </c>
      <c r="E36" s="632" t="s">
        <v>92</v>
      </c>
      <c r="F36" s="632" t="s">
        <v>93</v>
      </c>
      <c r="G36" s="632" t="s">
        <v>94</v>
      </c>
      <c r="H36" s="632" t="s">
        <v>95</v>
      </c>
      <c r="I36" s="632" t="s">
        <v>96</v>
      </c>
      <c r="J36" s="632" t="s">
        <v>97</v>
      </c>
      <c r="K36" s="632" t="s">
        <v>98</v>
      </c>
      <c r="L36" s="632" t="s">
        <v>99</v>
      </c>
      <c r="M36" s="633" t="s">
        <v>293</v>
      </c>
      <c r="N36" s="633" t="s">
        <v>100</v>
      </c>
      <c r="O36" s="633" t="s">
        <v>101</v>
      </c>
      <c r="P36" s="633" t="s">
        <v>518</v>
      </c>
      <c r="Q36" s="633" t="s">
        <v>102</v>
      </c>
      <c r="R36" s="633" t="s">
        <v>103</v>
      </c>
      <c r="S36" s="633" t="s">
        <v>104</v>
      </c>
      <c r="T36" s="633" t="s">
        <v>105</v>
      </c>
      <c r="U36" s="633" t="s">
        <v>106</v>
      </c>
      <c r="V36" s="633" t="s">
        <v>107</v>
      </c>
      <c r="W36" s="632" t="s">
        <v>108</v>
      </c>
      <c r="X36" s="632" t="s">
        <v>294</v>
      </c>
      <c r="Y36" s="632" t="s">
        <v>109</v>
      </c>
      <c r="Z36" s="634" t="s">
        <v>295</v>
      </c>
    </row>
    <row r="37" spans="1:27" s="604" customFormat="1" ht="12.75">
      <c r="A37" s="590"/>
      <c r="B37" s="786"/>
      <c r="C37" s="786"/>
      <c r="D37" s="638"/>
      <c r="E37" s="638"/>
      <c r="F37" s="638"/>
      <c r="G37" s="638"/>
      <c r="H37" s="638"/>
      <c r="I37" s="638"/>
      <c r="J37" s="785"/>
      <c r="K37" s="785"/>
      <c r="L37" s="638"/>
      <c r="M37" s="638"/>
      <c r="N37" s="638"/>
      <c r="O37" s="638"/>
      <c r="P37" s="638"/>
      <c r="Q37" s="638"/>
      <c r="R37" s="638"/>
      <c r="S37" s="638"/>
      <c r="T37" s="638"/>
      <c r="U37" s="638"/>
      <c r="V37" s="638"/>
      <c r="W37" s="638"/>
      <c r="X37" s="638"/>
      <c r="Y37" s="638"/>
      <c r="Z37" s="639"/>
    </row>
    <row r="38" spans="1:27" s="569" customFormat="1">
      <c r="A38" s="591" t="s">
        <v>275</v>
      </c>
      <c r="B38" s="592"/>
      <c r="C38" s="592"/>
      <c r="D38" s="592"/>
      <c r="E38" s="592"/>
      <c r="F38" s="592"/>
      <c r="G38" s="592"/>
      <c r="H38" s="592"/>
      <c r="I38" s="592"/>
      <c r="J38" s="592"/>
      <c r="K38" s="592"/>
      <c r="L38" s="593"/>
      <c r="M38" s="593">
        <f>SUM(M37:M37)</f>
        <v>0</v>
      </c>
      <c r="N38" s="593">
        <f>SUM(N37:N37)</f>
        <v>0</v>
      </c>
      <c r="O38" s="593">
        <f>SUM(O37:O37)</f>
        <v>0</v>
      </c>
      <c r="P38" s="593">
        <f>SUM(P37:P37)</f>
        <v>0</v>
      </c>
      <c r="Q38" s="593">
        <f>SUM(Q37:Q37)</f>
        <v>0</v>
      </c>
      <c r="R38" s="593">
        <f>SUM(R37:R37)</f>
        <v>0</v>
      </c>
      <c r="S38" s="593">
        <f>SUM(S37:S37)</f>
        <v>0</v>
      </c>
      <c r="T38" s="593">
        <f>SUM(T37:T37)</f>
        <v>0</v>
      </c>
      <c r="U38" s="593">
        <f>SUM(U37:U37)</f>
        <v>0</v>
      </c>
      <c r="V38" s="593">
        <f>SUM(V37:V37)</f>
        <v>0</v>
      </c>
      <c r="W38" s="593">
        <f>SUM(W37:W37)</f>
        <v>0</v>
      </c>
      <c r="X38" s="594"/>
      <c r="Y38" s="594"/>
      <c r="Z38" s="595"/>
    </row>
    <row r="39" spans="1:27" s="569" customFormat="1">
      <c r="A39" s="591" t="s">
        <v>282</v>
      </c>
      <c r="B39" s="592"/>
      <c r="C39" s="592"/>
      <c r="D39" s="592"/>
      <c r="E39" s="592"/>
      <c r="F39" s="592"/>
      <c r="G39" s="592"/>
      <c r="H39" s="592"/>
      <c r="I39" s="592"/>
      <c r="J39" s="592"/>
      <c r="K39" s="592"/>
      <c r="L39" s="593"/>
      <c r="M39" s="593">
        <f>SUMIF($Z$37:$Z$37,"industrie",M37:M37)</f>
        <v>0</v>
      </c>
      <c r="N39" s="593">
        <f>SUMIF($Z$37:$Z$37,"industrie",N37:N37)</f>
        <v>0</v>
      </c>
      <c r="O39" s="593">
        <f>SUMIF($Z$37:$Z$37,"industrie",O37:O37)</f>
        <v>0</v>
      </c>
      <c r="P39" s="593">
        <f>SUMIF($Z$37:$Z$37,"industrie",P37:P37)</f>
        <v>0</v>
      </c>
      <c r="Q39" s="593">
        <f>SUMIF($Z$37:$Z$37,"industrie",Q37:Q37)</f>
        <v>0</v>
      </c>
      <c r="R39" s="593">
        <f>SUMIF($Z$37:$Z$37,"industrie",R37:R37)</f>
        <v>0</v>
      </c>
      <c r="S39" s="593">
        <f>SUMIF($Z$37:$Z$37,"industrie",S37:S37)</f>
        <v>0</v>
      </c>
      <c r="T39" s="593">
        <f>SUMIF($Z$37:$Z$37,"industrie",T37:T37)</f>
        <v>0</v>
      </c>
      <c r="U39" s="593">
        <f>SUMIF($Z$37:$Z$37,"industrie",U37:U37)</f>
        <v>0</v>
      </c>
      <c r="V39" s="593">
        <f>SUMIF($Z$37:$Z$37,"industrie",V37:V37)</f>
        <v>0</v>
      </c>
      <c r="W39" s="593">
        <f>SUMIF($Z$37:$Z$37,"industrie",W37:W37)</f>
        <v>0</v>
      </c>
      <c r="X39" s="594"/>
      <c r="Y39" s="594"/>
      <c r="Z39" s="595"/>
    </row>
    <row r="40" spans="1:27" s="569" customFormat="1">
      <c r="A40" s="591" t="s">
        <v>283</v>
      </c>
      <c r="B40" s="592"/>
      <c r="C40" s="592"/>
      <c r="D40" s="592"/>
      <c r="E40" s="592"/>
      <c r="F40" s="592"/>
      <c r="G40" s="592"/>
      <c r="H40" s="592"/>
      <c r="I40" s="592"/>
      <c r="J40" s="592"/>
      <c r="K40" s="592"/>
      <c r="L40" s="593"/>
      <c r="M40" s="593">
        <f>SUMIF($Z$37:$Z$38,"tertiair",M37:M38)</f>
        <v>0</v>
      </c>
      <c r="N40" s="593">
        <f>SUMIF($Z$37:$Z$38,"tertiair",N37:N38)</f>
        <v>0</v>
      </c>
      <c r="O40" s="593">
        <f>SUMIF($Z$37:$Z$38,"tertiair",O37:O38)</f>
        <v>0</v>
      </c>
      <c r="P40" s="593">
        <f>SUMIF($Z$37:$Z$38,"tertiair",P37:P38)</f>
        <v>0</v>
      </c>
      <c r="Q40" s="593">
        <f>SUMIF($Z$37:$Z$38,"tertiair",Q37:Q38)</f>
        <v>0</v>
      </c>
      <c r="R40" s="593">
        <f>SUMIF($Z$37:$Z$38,"tertiair",R37:R38)</f>
        <v>0</v>
      </c>
      <c r="S40" s="593">
        <f>SUMIF($Z$37:$Z$38,"tertiair",S37:S38)</f>
        <v>0</v>
      </c>
      <c r="T40" s="593">
        <f>SUMIF($Z$37:$Z$38,"tertiair",T37:T38)</f>
        <v>0</v>
      </c>
      <c r="U40" s="593">
        <f>SUMIF($Z$37:$Z$38,"tertiair",U37:U38)</f>
        <v>0</v>
      </c>
      <c r="V40" s="593">
        <f>SUMIF($Z$37:$Z$38,"tertiair",V37:V38)</f>
        <v>0</v>
      </c>
      <c r="W40" s="593">
        <f>SUMIF($Z$37:$Z$38,"tertiair",W37:W38)</f>
        <v>0</v>
      </c>
      <c r="X40" s="594"/>
      <c r="Y40" s="594"/>
      <c r="Z40" s="595"/>
    </row>
    <row r="41" spans="1:27" s="569" customFormat="1" ht="15.75" thickBot="1">
      <c r="A41" s="596" t="s">
        <v>284</v>
      </c>
      <c r="B41" s="597"/>
      <c r="C41" s="597"/>
      <c r="D41" s="597"/>
      <c r="E41" s="597"/>
      <c r="F41" s="597"/>
      <c r="G41" s="597"/>
      <c r="H41" s="597"/>
      <c r="I41" s="597"/>
      <c r="J41" s="597"/>
      <c r="K41" s="597"/>
      <c r="L41" s="598"/>
      <c r="M41" s="598">
        <f>SUMIF($Z$37:$Z$39,"landbouw",M37:M39)</f>
        <v>0</v>
      </c>
      <c r="N41" s="598">
        <f>SUMIF($Z$37:$Z$39,"landbouw",N37:N39)</f>
        <v>0</v>
      </c>
      <c r="O41" s="598">
        <f>SUMIF($Z$37:$Z$39,"landbouw",O37:O39)</f>
        <v>0</v>
      </c>
      <c r="P41" s="598">
        <f>SUMIF($Z$37:$Z$39,"landbouw",P37:P39)</f>
        <v>0</v>
      </c>
      <c r="Q41" s="598">
        <f>SUMIF($Z$37:$Z$39,"landbouw",Q37:Q39)</f>
        <v>0</v>
      </c>
      <c r="R41" s="598">
        <f>SUMIF($Z$37:$Z$39,"landbouw",R37:R39)</f>
        <v>0</v>
      </c>
      <c r="S41" s="598">
        <f>SUMIF($Z$37:$Z$39,"landbouw",S37:S39)</f>
        <v>0</v>
      </c>
      <c r="T41" s="598">
        <f>SUMIF($Z$37:$Z$39,"landbouw",T37:T39)</f>
        <v>0</v>
      </c>
      <c r="U41" s="598">
        <f>SUMIF($Z$37:$Z$39,"landbouw",U37:U39)</f>
        <v>0</v>
      </c>
      <c r="V41" s="598">
        <f>SUMIF($Z$37:$Z$39,"landbouw",V37:V39)</f>
        <v>0</v>
      </c>
      <c r="W41" s="598">
        <f>SUMIF($Z$37:$Z$39,"landbouw",W37:W39)</f>
        <v>0</v>
      </c>
      <c r="X41" s="599"/>
      <c r="Y41" s="599"/>
      <c r="Z41" s="600"/>
    </row>
    <row r="42" spans="1:27" s="605" customForma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row>
    <row r="43" spans="1:27" s="605" customFormat="1" ht="15.75" thickBot="1">
      <c r="A43" s="601"/>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row>
    <row r="44" spans="1:27">
      <c r="A44" s="606" t="s">
        <v>277</v>
      </c>
      <c r="B44" s="607"/>
      <c r="C44" s="607"/>
      <c r="D44" s="607"/>
      <c r="E44" s="607"/>
      <c r="F44" s="607"/>
      <c r="G44" s="607"/>
      <c r="H44" s="607"/>
      <c r="I44" s="608"/>
      <c r="J44" s="609"/>
      <c r="K44" s="609"/>
      <c r="L44" s="610"/>
      <c r="M44" s="610"/>
      <c r="N44" s="610"/>
      <c r="O44" s="610"/>
      <c r="P44" s="610"/>
    </row>
    <row r="45" spans="1:27">
      <c r="A45" s="612"/>
      <c r="B45" s="602"/>
      <c r="C45" s="602"/>
      <c r="D45" s="602"/>
      <c r="E45" s="602"/>
      <c r="F45" s="602"/>
      <c r="G45" s="602"/>
      <c r="H45" s="602"/>
      <c r="I45" s="613"/>
      <c r="J45" s="602"/>
      <c r="K45" s="602"/>
      <c r="L45" s="610"/>
      <c r="M45" s="610"/>
      <c r="N45" s="610"/>
      <c r="O45" s="610"/>
      <c r="P45" s="610"/>
    </row>
    <row r="46" spans="1:27">
      <c r="A46" s="614"/>
      <c r="B46" s="615" t="s">
        <v>278</v>
      </c>
      <c r="C46" s="615" t="s">
        <v>279</v>
      </c>
      <c r="D46" s="615"/>
      <c r="E46" s="615"/>
      <c r="F46" s="615"/>
      <c r="G46" s="615"/>
      <c r="H46" s="615"/>
      <c r="I46" s="616"/>
      <c r="J46" s="615"/>
      <c r="K46" s="615"/>
      <c r="L46" s="615"/>
      <c r="M46" s="615"/>
      <c r="N46" s="615"/>
      <c r="O46" s="615"/>
      <c r="P46" s="610"/>
    </row>
    <row r="47" spans="1:27">
      <c r="A47" s="612" t="s">
        <v>275</v>
      </c>
      <c r="B47" s="617">
        <f>IF(ISERROR(O31/(O31+N31)),0,O31/(O31+N31))</f>
        <v>0.58823529411764708</v>
      </c>
      <c r="C47" s="618">
        <f>IF(ISERROR(N31/(O31+N31)),0,N31/(N31+O31))</f>
        <v>0.41176470588235292</v>
      </c>
      <c r="D47" s="585"/>
      <c r="E47" s="585"/>
      <c r="F47" s="585"/>
      <c r="G47" s="585"/>
      <c r="H47" s="585"/>
      <c r="I47" s="619"/>
      <c r="J47" s="585"/>
      <c r="K47" s="585"/>
      <c r="L47" s="620"/>
      <c r="M47" s="620"/>
      <c r="N47" s="620"/>
      <c r="O47" s="620"/>
      <c r="P47" s="610"/>
    </row>
    <row r="48" spans="1:27">
      <c r="A48" s="612"/>
      <c r="B48" s="621"/>
      <c r="C48" s="621"/>
      <c r="D48" s="621"/>
      <c r="E48" s="621"/>
      <c r="F48" s="621"/>
      <c r="G48" s="621"/>
      <c r="H48" s="621"/>
      <c r="I48" s="622"/>
      <c r="J48" s="621"/>
      <c r="K48" s="621"/>
      <c r="L48" s="623"/>
      <c r="M48" s="623"/>
      <c r="N48" s="623"/>
      <c r="O48" s="623"/>
      <c r="P48" s="610"/>
    </row>
    <row r="49" spans="1:16" ht="30">
      <c r="A49" s="624"/>
      <c r="B49" s="625" t="s">
        <v>518</v>
      </c>
      <c r="C49" s="625" t="s">
        <v>102</v>
      </c>
      <c r="D49" s="625" t="s">
        <v>103</v>
      </c>
      <c r="E49" s="625" t="s">
        <v>104</v>
      </c>
      <c r="F49" s="625" t="s">
        <v>105</v>
      </c>
      <c r="G49" s="625" t="s">
        <v>106</v>
      </c>
      <c r="H49" s="625" t="s">
        <v>107</v>
      </c>
      <c r="I49" s="626" t="s">
        <v>108</v>
      </c>
      <c r="J49" s="615"/>
      <c r="K49" s="615"/>
      <c r="L49" s="623"/>
      <c r="M49" s="623"/>
      <c r="N49" s="623"/>
      <c r="O49" s="610"/>
      <c r="P49" s="610"/>
    </row>
    <row r="50" spans="1:16">
      <c r="A50" s="614" t="s">
        <v>280</v>
      </c>
      <c r="B50" s="627">
        <f t="shared" ref="B50:I50" si="2">$C$47*P31</f>
        <v>18436.764705882353</v>
      </c>
      <c r="C50" s="627">
        <f t="shared" si="2"/>
        <v>0</v>
      </c>
      <c r="D50" s="627">
        <f t="shared" si="2"/>
        <v>0</v>
      </c>
      <c r="E50" s="627">
        <f t="shared" si="2"/>
        <v>0</v>
      </c>
      <c r="F50" s="627">
        <f t="shared" si="2"/>
        <v>0</v>
      </c>
      <c r="G50" s="627">
        <f t="shared" si="2"/>
        <v>0</v>
      </c>
      <c r="H50" s="627">
        <f t="shared" si="2"/>
        <v>0</v>
      </c>
      <c r="I50" s="628">
        <f t="shared" si="2"/>
        <v>0</v>
      </c>
      <c r="J50" s="585"/>
      <c r="K50" s="585"/>
      <c r="L50" s="623"/>
      <c r="M50" s="623"/>
      <c r="N50" s="623"/>
      <c r="O50" s="610"/>
      <c r="P50" s="610"/>
    </row>
    <row r="51" spans="1:16" ht="15.75" thickBot="1">
      <c r="A51" s="629" t="s">
        <v>281</v>
      </c>
      <c r="B51" s="630">
        <f t="shared" ref="B51:I51" si="3">$B$47*P31</f>
        <v>26338.235294117647</v>
      </c>
      <c r="C51" s="630">
        <f t="shared" si="3"/>
        <v>0</v>
      </c>
      <c r="D51" s="630">
        <f t="shared" si="3"/>
        <v>0</v>
      </c>
      <c r="E51" s="630">
        <f t="shared" si="3"/>
        <v>0</v>
      </c>
      <c r="F51" s="630">
        <f t="shared" si="3"/>
        <v>0</v>
      </c>
      <c r="G51" s="630">
        <f t="shared" si="3"/>
        <v>0</v>
      </c>
      <c r="H51" s="630">
        <f t="shared" si="3"/>
        <v>0</v>
      </c>
      <c r="I51" s="631">
        <f t="shared" si="3"/>
        <v>0</v>
      </c>
      <c r="J51" s="585"/>
      <c r="K51" s="585"/>
      <c r="L51" s="623"/>
      <c r="M51" s="623"/>
      <c r="N51" s="623"/>
      <c r="O51" s="610"/>
      <c r="P51" s="610"/>
    </row>
    <row r="52" spans="1:16">
      <c r="J52" s="565"/>
      <c r="K52" s="565"/>
      <c r="L52" s="565"/>
      <c r="M52" s="565"/>
      <c r="N52" s="565"/>
    </row>
    <row r="53" spans="1:16">
      <c r="J53" s="565"/>
      <c r="K53" s="565"/>
      <c r="L53" s="565"/>
      <c r="M53" s="565"/>
      <c r="N53"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2021-06-29T14:31:04Z</dcterms:modified>
</cp:coreProperties>
</file>