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B36" i="13"/>
  <c r="B34" i="13"/>
  <c r="B33" i="13"/>
  <c r="B32" i="13"/>
  <c r="B35" i="13"/>
  <c r="C35" i="13" s="1"/>
  <c r="C34"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<sst xmlns="http://schemas.openxmlformats.org/spreadsheetml/2006/main" count="2448" uniqueCount="883">
  <si>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</si>
  <si>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</si>
  <si>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</si>
  <si>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</si>
  <si>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</si>
  <si>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</si>
  <si>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</si>
  <si>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</si>
  <si>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</si>
  <si>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</si>
  <si>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</si>
  <si>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</si>
  <si>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</si>
  <si>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</si>
  <si>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</si>
  <si>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</si>
  <si>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</si>
  <si>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</si>
  <si>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</si>
  <si>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</si>
  <si>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</si>
  <si>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</si>
  <si>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</si>
  <si>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</si>
  <si>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</si>
  <si>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</si>
  <si>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</si>
  <si>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</si>
  <si>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</si>
  <si>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</si>
  <si>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</si>
  <si>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</si>
  <si>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</si>
  <si>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</si>
  <si>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</si>
  <si>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</si>
  <si>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</si>
  <si>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</si>
  <si>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</si>
  <si>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</si>
  <si>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</si>
  <si>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</si>
  <si>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</si>
  <si>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</si>
  <si>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</si>
  <si>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</si>
  <si>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</si>
  <si>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</si>
  <si>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</si>
  <si>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</si>
  <si>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</si>
  <si>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</si>
  <si>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</si>
  <si>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</si>
  <si>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</si>
  <si>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</si>
  <si>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</si>
  <si>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</si>
  <si>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</si>
  <si>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</si>
  <si>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</si>
  <si>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</si>
  <si>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</si>
  <si>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</si>
  <si>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</si>
  <si>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</si>
  <si>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</si>
  <si>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</si>
  <si>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</si>
  <si>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</si>
  <si>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</si>
  <si>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</si>
  <si>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</si>
  <si>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</si>
  <si>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</si>
  <si>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</si>
  <si>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</si>
  <si>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</si>
  <si>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</si>
  <si>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</si>
  <si>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</si>
  <si>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</si>
  <si>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</si>
  <si>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</si>
  <si>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</si>
  <si>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</si>
  <si>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</si>
  <si>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</si>
  <si>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</si>
  <si>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</si>
  <si>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</si>
  <si>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</si>
  <si>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</si>
  <si>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</si>
  <si>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</si>
  <si>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</si>
  <si>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</si>
  <si>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</si>
  <si>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</si>
  <si>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</si>
  <si>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</si>
  <si>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</si>
  <si>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</si>
  <si>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</si>
  <si>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</si>
  <si>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</si>
  <si>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</si>
  <si>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</si>
  <si>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</si>
  <si>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</si>
  <si>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</si>
  <si>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</si>
  <si>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</si>
  <si>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</si>
  <si>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</si>
  <si>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</si>
  <si>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</si>
  <si>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</si>
  <si>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</si>
  <si>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</si>
  <si>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</si>
  <si>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</si>
  <si>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</si>
  <si>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</si>
  <si>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</si>
  <si>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</si>
  <si>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</si>
  <si>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</si>
  <si>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</si>
  <si>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</si>
  <si>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</si>
  <si>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</si>
  <si>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</si>
  <si>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</si>
  <si>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</si>
  <si>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</si>
  <si>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</si>
  <si>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</si>
  <si>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</si>
  <si>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</si>
  <si>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</si>
  <si>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</si>
  <si>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</si>
  <si>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</si>
  <si>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</si>
  <si>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</si>
  <si>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</si>
  <si>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</si>
  <si>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</si>
  <si>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</si>
  <si>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</si>
  <si>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</si>
  <si>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</si>
  <si>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</si>
  <si>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</si>
  <si>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</si>
  <si>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</si>
  <si>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</si>
  <si>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</si>
  <si>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</si>
  <si>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</si>
  <si>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</si>
  <si>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</si>
  <si>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</si>
  <si>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</si>
  <si>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</si>
  <si>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</si>
  <si>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</si>
  <si>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</si>
  <si>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</si>
  <si>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</si>
  <si>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</si>
  <si>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</si>
  <si>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</si>
  <si>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</si>
  <si>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</si>
  <si>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</si>
  <si>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</si>
  <si>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</si>
  <si>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</si>
  <si>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</si>
  <si>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</si>
  <si>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</si>
  <si>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</si>
  <si>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</si>
  <si>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</si>
  <si>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</si>
  <si>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</si>
  <si>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</si>
  <si>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</si>
  <si>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</si>
  <si>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</si>
  <si>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</si>
  <si>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</si>
  <si>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</si>
  <si>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</si>
  <si>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</si>
  <si>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</si>
  <si>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</si>
  <si>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</si>
  <si>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</si>
  <si>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</si>
  <si>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</si>
  <si>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</si>
  <si>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</si>
  <si>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</si>
  <si>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</si>
  <si>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</si>
  <si>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</si>
  <si>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</si>
  <si>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</si>
  <si>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</si>
  <si>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</si>
  <si>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</si>
  <si>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</si>
  <si>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</si>
  <si>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</si>
  <si>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</si>
  <si>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</si>
  <si>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</si>
  <si>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</si>
  <si>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</si>
  <si>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</si>
  <si>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</si>
  <si>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</si>
  <si>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</si>
  <si>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</si>
  <si>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</si>
  <si>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</si>
  <si>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</si>
  <si>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</si>
  <si>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</si>
  <si>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</si>
  <si>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</si>
  <si>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</si>
  <si>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</si>
  <si>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</si>
  <si>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</si>
  <si>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</si>
  <si>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</si>
  <si>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</si>
  <si>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</si>
  <si>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</si>
  <si>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</si>
  <si>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</si>
  <si>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</si>
  <si>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</si>
  <si>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</si>
  <si>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</si>
  <si>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</si>
  <si>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</si>
  <si>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</si>
  <si>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</si>
  <si>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</si>
  <si>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</si>
  <si>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</si>
  <si>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</si>
  <si>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</si>
  <si>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</si>
  <si>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</si>
  <si>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</si>
  <si>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</si>
  <si>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</si>
  <si>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</si>
  <si>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</si>
  <si>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</si>
  <si>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</si>
  <si>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</si>
  <si>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</si>
  <si>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</si>
  <si>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</si>
  <si>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</si>
  <si>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</si>
  <si>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</si>
  <si>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</si>
  <si>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</si>
  <si>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</si>
  <si>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</si>
  <si>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</si>
  <si>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</si>
  <si>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</si>
  <si>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</si>
  <si>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</si>
  <si>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</si>
  <si>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</si>
  <si>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</si>
  <si>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</si>
  <si>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</si>
  <si>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</si>
  <si>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</si>
  <si>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</si>
  <si>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</si>
  <si>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</si>
  <si>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</si>
  <si>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</si>
  <si>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</si>
  <si>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</si>
  <si>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</si>
  <si>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</si>
  <si>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</si>
  <si>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</si>
  <si>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</si>
  <si>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</si>
  <si>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</si>
  <si>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</si>
  <si>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</si>
  <si>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</si>
  <si>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</si>
  <si>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</si>
  <si>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</si>
  <si>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</si>
  <si>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</si>
  <si>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</si>
  <si>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</si>
  <si>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</si>
  <si>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</si>
  <si>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</si>
  <si>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</si>
  <si>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</si>
  <si>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</si>
  <si>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</si>
  <si>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</si>
  <si>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</si>
  <si>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</si>
  <si>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</si>
  <si>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</si>
  <si>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</si>
  <si>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</si>
  <si>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</si>
  <si>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</si>
  <si>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</si>
  <si>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</si>
  <si>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</si>
  <si>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</si>
  <si>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</si>
  <si>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</si>
  <si>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</si>
  <si>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</si>
  <si>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</si>
  <si>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</si>
  <si>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</si>
  <si>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</si>
  <si>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</si>
  <si>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</si>
  <si>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</si>
  <si>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</si>
  <si>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</si>
  <si>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</si>
  <si>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</si>
  <si>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</si>
  <si>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</si>
  <si>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</si>
  <si>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</si>
  <si>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</si>
  <si>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</si>
  <si>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</si>
  <si>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</si>
  <si>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</si>
  <si>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</si>
  <si>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</si>
  <si>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</si>
  <si>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</si>
  <si>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</si>
  <si>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</si>
  <si>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</si>
  <si>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</si>
  <si>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</si>
  <si>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</si>
  <si>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</si>
  <si>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</si>
  <si>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</si>
  <si>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</si>
  <si>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</si>
  <si>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</si>
  <si>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</si>
  <si>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</si>
  <si>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</si>
  <si>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</si>
  <si>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</si>
  <si>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</si>
  <si>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</si>
  <si>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</si>
  <si>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</si>
  <si>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</si>
  <si>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</si>
  <si>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</si>
  <si>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</si>
  <si>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</si>
  <si>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</si>
  <si>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</si>
  <si>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</si>
  <si>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</si>
  <si>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</si>
  <si>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</si>
  <si>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</si>
  <si>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</si>
  <si>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</si>
  <si>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</si>
  <si>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</si>
  <si>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</si>
  <si>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</si>
  <si>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</si>
  <si>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</si>
  <si>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</si>
  <si>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</si>
  <si>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</si>
  <si>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</si>
  <si>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</si>
  <si>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</si>
  <si>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</si>
  <si>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</si>
  <si>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</si>
  <si>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</si>
  <si>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</si>
  <si>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</si>
  <si>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</si>
  <si>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</si>
  <si>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</si>
  <si>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</si>
  <si>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</si>
  <si>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</si>
  <si>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</si>
  <si>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</si>
  <si>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</si>
  <si>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</si>
  <si>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</si>
  <si>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</si>
  <si>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</si>
  <si>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</si>
  <si>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</si>
  <si>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</si>
  <si>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</si>
  <si>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</si>
  <si>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</si>
  <si>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</si>
  <si>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</si>
  <si>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</si>
  <si>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</si>
  <si>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</si>
  <si>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</si>
  <si>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</si>
  <si>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</si>
  <si>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</si>
  <si>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</si>
  <si>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</si>
  <si>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</si>
  <si>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</si>
  <si>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</si>
  <si>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</si>
  <si>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</si>
  <si>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</si>
  <si>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</si>
  <si>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</si>
  <si>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</si>
  <si>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</si>
  <si>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</si>
  <si>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</si>
  <si>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</si>
  <si>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</si>
  <si>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</si>
  <si>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</si>
  <si>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</si>
  <si>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</si>
  <si>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</si>
  <si>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</si>
  <si>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</si>
  <si>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</si>
  <si>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</si>
  <si>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</si>
  <si>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</si>
  <si>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</si>
  <si>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</si>
  <si>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</si>
  <si>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</si>
  <si>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</si>
  <si>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</si>
  <si>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</si>
  <si>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</si>
  <si>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</si>
  <si>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</si>
  <si>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</si>
  <si>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</si>
  <si>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</si>
  <si>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</si>
  <si>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</si>
  <si>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</si>
  <si>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</si>
  <si>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</si>
  <si>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</si>
  <si>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</si>
  <si>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</si>
  <si>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</si>
  <si>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</si>
  <si>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</si>
  <si>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</si>
  <si>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</si>
  <si>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</si>
  <si>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</si>
  <si>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</si>
  <si>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</si>
  <si>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</si>
  <si>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</si>
  <si>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</si>
  <si>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</si>
  <si>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</si>
  <si>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</si>
  <si>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</si>
  <si>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</si>
  <si>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</si>
  <si>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</si>
  <si>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</si>
  <si>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</si>
  <si>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</si>
  <si>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</si>
  <si>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</si>
  <si>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</si>
  <si>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</si>
  <si>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</si>
  <si>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</si>
  <si>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</si>
  <si>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</si>
  <si>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</si>
  <si>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</si>
  <si>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</si>
  <si>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</si>
  <si>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</si>
  <si>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</si>
  <si>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</si>
  <si>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</si>
  <si>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</si>
  <si>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</si>
  <si>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</si>
  <si>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</si>
  <si>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</si>
  <si>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</si>
  <si>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</si>
  <si>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</si>
  <si>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</si>
  <si>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</si>
  <si>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</si>
  <si>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</si>
  <si>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</si>
  <si>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</si>
  <si>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</si>
  <si>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</si>
  <si>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</si>
  <si>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</si>
  <si>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</si>
  <si>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</si>
  <si>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</si>
  <si>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</si>
  <si>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</si>
  <si>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</si>
  <si>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</si>
  <si>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</si>
  <si>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</si>
  <si>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</si>
  <si>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</si>
  <si>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</si>
  <si>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</si>
  <si>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</si>
  <si>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</si>
  <si>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</si>
  <si>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</si>
  <si>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</si>
  <si>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</si>
  <si>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</si>
  <si>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</si>
  <si>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</si>
  <si>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</si>
  <si>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</si>
  <si>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</si>
  <si>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</si>
  <si>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</si>
  <si>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</si>
  <si>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</si>
  <si>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</si>
  <si>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</si>
  <si>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</si>
  <si>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</si>
  <si>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</si>
  <si>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</si>
  <si>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</si>
  <si>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</si>
  <si>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</si>
  <si>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</si>
  <si>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</si>
  <si>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</si>
  <si>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</si>
  <si>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</si>
  <si>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</si>
  <si>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</si>
  <si>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</si>
  <si>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</si>
  <si>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</si>
  <si>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</si>
  <si>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</si>
  <si>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</si>
  <si>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</si>
  <si>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</si>
  <si>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</si>
  <si>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</si>
  <si>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</si>
  <si>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</si>
  <si>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</si>
  <si>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</si>
  <si>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</si>
  <si>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</si>
  <si>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</si>
  <si>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</si>
  <si>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</si>
  <si>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</si>
  <si>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</si>
  <si>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</si>
  <si>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</si>
  <si>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</si>
  <si>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</si>
  <si>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</si>
  <si>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</si>
  <si>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</si>
  <si>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</si>
  <si>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</si>
  <si>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</si>
  <si>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</si>
  <si>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</si>
  <si>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</si>
  <si>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</si>
  <si>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</si>
  <si>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</si>
  <si>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</si>
  <si>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</si>
  <si>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</si>
  <si>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</si>
  <si>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</si>
  <si>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</si>
  <si>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</si>
  <si>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</si>
  <si>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</si>
  <si>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</si>
  <si>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</si>
  <si>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</si>
  <si>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</si>
  <si>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</si>
  <si>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</si>
  <si>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</si>
  <si>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</si>
  <si>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</si>
  <si>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</si>
  <si>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</si>
  <si>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</si>
  <si>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</si>
  <si>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</si>
  <si>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</si>
  <si>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</si>
  <si>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</si>
  <si>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</si>
  <si>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</si>
  <si>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</si>
  <si>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</si>
  <si>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</si>
  <si>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</si>
  <si>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</si>
  <si>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</si>
  <si>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</si>
  <si>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</si>
  <si>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</si>
  <si>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</si>
  <si>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</si>
  <si>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</si>
  <si>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</si>
  <si>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</si>
  <si>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</si>
  <si>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</si>
  <si>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</si>
  <si>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</si>
  <si>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</si>
  <si>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</si>
  <si>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</si>
  <si>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</si>
  <si>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</si>
  <si>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</si>
  <si>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</si>
  <si>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</si>
  <si>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</si>
  <si>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</si>
  <si>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</si>
  <si>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</si>
  <si>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</si>
  <si>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</si>
  <si>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</si>
  <si>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</si>
  <si>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</si>
  <si>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</si>
  <si>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</si>
  <si>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</si>
  <si>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</si>
  <si>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</si>
  <si>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</si>
  <si>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</si>
  <si>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</si>
  <si>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</si>
  <si>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</si>
  <si>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</si>
  <si>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</si>
  <si>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</si>
  <si>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</si>
  <si>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</si>
  <si>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</si>
  <si>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</si>
  <si>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</si>
  <si>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</si>
  <si>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</si>
  <si>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</si>
  <si>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</si>
  <si>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</si>
  <si>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</si>
  <si>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</si>
  <si>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</si>
  <si>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</si>
  <si>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</si>
  <si>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</si>
  <si>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</si>
  <si>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</si>
  <si>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</si>
  <si>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</si>
  <si>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</si>
  <si>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</si>
  <si>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</si>
  <si>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</si>
  <si>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</si>
  <si>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</si>
  <si>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</si>
  <si>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</si>
  <si>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</si>
  <si>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</si>
  <si>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</si>
  <si>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</si>
  <si>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</si>
  <si>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</si>
  <si>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</si>
  <si>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</si>
  <si>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</si>
  <si>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</si>
  <si>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</si>
  <si>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</si>
  <si>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</si>
  <si>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</si>
  <si>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</si>
  <si>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</si>
  <si>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</si>
  <si>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</si>
  <si>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</si>
  <si>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</si>
  <si>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</si>
  <si>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</si>
  <si>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</si>
  <si>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</si>
  <si>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</si>
  <si>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</si>
  <si>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</si>
  <si>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</si>
  <si>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</si>
  <si>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</si>
  <si>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</si>
  <si>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</si>
  <si>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</si>
  <si>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</si>
  <si>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</si>
  <si>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</si>
  <si>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</si>
  <si>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</si>
  <si>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</si>
  <si>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</si>
  <si>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</si>
  <si>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</si>
  <si>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</si>
  <si>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</si>
  <si>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</si>
  <si>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</si>
  <si>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</si>
  <si>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</si>
  <si>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</si>
  <si>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</si>
  <si>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</si>
  <si>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</si>
  <si>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</si>
  <si>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</si>
  <si>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</si>
  <si>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</si>
  <si>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</si>
  <si>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</si>
  <si>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</si>
  <si>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</si>
  <si>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</si>
  <si>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</si>
  <si>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</si>
  <si>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</si>
  <si>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</si>
  <si>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</si>
  <si>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</si>
  <si>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</si>
  <si>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</si>
  <si>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</si>
  <si>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</si>
  <si>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</si>
  <si>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</si>
  <si>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</si>
  <si>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</si>
  <si>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</si>
  <si>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</si>
  <si>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</si>
  <si>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</si>
  <si>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</si>
  <si>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</si>
  <si>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</si>
  <si>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</si>
  <si>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</si>
  <si>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</si>
  <si>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</si>
  <si>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</si>
  <si>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</si>
  <si>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</si>
  <si>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</si>
  <si>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</si>
  <si>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</si>
  <si>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</si>
  <si>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</si>
  <si>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</si>
  <si>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</si>
  <si>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</si>
  <si>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</si>
  <si>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</si>
  <si>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</si>
  <si>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</si>
  <si>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</si>
  <si>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</si>
  <si>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</si>
  <si>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</si>
  <si>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</si>
  <si>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</si>
  <si>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</si>
  <si>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</si>
  <si>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</si>
  <si>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</si>
  <si>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</si>
  <si>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</si>
  <si>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</si>
  <si>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</si>
  <si>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</si>
  <si>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</si>
  <si>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</si>
  <si>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</si>
  <si>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</si>
  <si>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</si>
  <si>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</si>
  <si>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</si>
  <si>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</si>
  <si>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</si>
  <si>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</si>
  <si>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</si>
  <si>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</si>
  <si>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</si>
  <si>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</si>
  <si>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</si>
  <si>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</si>
  <si>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</si>
  <si>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</si>
  <si>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</si>
  <si>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</si>
  <si>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</si>
  <si>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</si>
  <si>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</si>
  <si>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</si>
  <si>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</si>
  <si>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</si>
  <si>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</si>
  <si>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</si>
  <si>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</si>
  <si>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</si>
  <si>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33016</t>
  </si>
  <si>
    <t>MESEN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</si>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</sst>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8164.9822451464333</c:v>
                </c:pt>
                <c:pt idx="1">
                  <c:v>1786.3963943805641</c:v>
                </c:pt>
                <c:pt idx="2">
                  <c:v>64.055999999999997</c:v>
                </c:pt>
                <c:pt idx="3">
                  <c:v>1158.1949260709439</c:v>
                </c:pt>
                <c:pt idx="4">
                  <c:v>111.27181652391488</c:v>
                </c:pt>
                <c:pt idx="5">
                  <c:v>2688.2129102835133</c:v>
                </c:pt>
                <c:pt idx="6">
                  <c:v>40.480870924640207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8164.9822451464333</c:v>
                </c:pt>
                <c:pt idx="1">
                  <c:v>1786.3963943805641</c:v>
                </c:pt>
                <c:pt idx="2">
                  <c:v>64.055999999999997</c:v>
                </c:pt>
                <c:pt idx="3">
                  <c:v>1158.1949260709439</c:v>
                </c:pt>
                <c:pt idx="4">
                  <c:v>111.27181652391488</c:v>
                </c:pt>
                <c:pt idx="5">
                  <c:v>2688.2129102835133</c:v>
                </c:pt>
                <c:pt idx="6">
                  <c:v>40.480870924640207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1595.5677965177294</c:v>
                </c:pt>
                <c:pt idx="1">
                  <c:v>355.59918370907292</c:v>
                </c:pt>
                <c:pt idx="2">
                  <c:v>12.908309588899407</c:v>
                </c:pt>
                <c:pt idx="3">
                  <c:v>296.7561913698035</c:v>
                </c:pt>
                <c:pt idx="4">
                  <c:v>23.299072847229482</c:v>
                </c:pt>
                <c:pt idx="5">
                  <c:v>667.47531648054053</c:v>
                </c:pt>
                <c:pt idx="6">
                  <c:v>10.215476870151978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1595.5677965177294</c:v>
                </c:pt>
                <c:pt idx="1">
                  <c:v>355.59918370907292</c:v>
                </c:pt>
                <c:pt idx="2">
                  <c:v>12.908309588899407</c:v>
                </c:pt>
                <c:pt idx="3">
                  <c:v>296.7561913698035</c:v>
                </c:pt>
                <c:pt idx="4">
                  <c:v>23.299072847229482</c:v>
                </c:pt>
                <c:pt idx="5">
                  <c:v>667.47531648054053</c:v>
                </c:pt>
                <c:pt idx="6">
                  <c:v>10.215476870151978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33016</v>
      </c>
      <c r="B6" s="386"/>
      <c r="C6" s="387"/>
    </row>
    <row r="7" spans="1:7" s="384" customFormat="1" ht="15.75" customHeight="1">
      <c r="A7" s="388" t="str">
        <f>txtMunicipality</f>
        <v>MESEN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679.49607920558526</v>
      </c>
      <c r="D10" s="682">
        <f ca="1">tertiair!C16</f>
        <v>0</v>
      </c>
      <c r="E10" s="682">
        <f ca="1">tertiair!D16</f>
        <v>924.57781192204243</v>
      </c>
      <c r="F10" s="682">
        <f>tertiair!E16</f>
        <v>3.5155132392523551</v>
      </c>
      <c r="G10" s="682">
        <f ca="1">tertiair!F16</f>
        <v>164.84888396783697</v>
      </c>
      <c r="H10" s="682">
        <f>tertiair!G16</f>
        <v>0</v>
      </c>
      <c r="I10" s="682">
        <f>tertiair!H16</f>
        <v>0</v>
      </c>
      <c r="J10" s="682">
        <f>tertiair!I16</f>
        <v>0</v>
      </c>
      <c r="K10" s="682">
        <f>tertiair!J16</f>
        <v>2.1540046193115774E-3</v>
      </c>
      <c r="L10" s="682">
        <f>tertiair!K16</f>
        <v>0</v>
      </c>
      <c r="M10" s="682">
        <f ca="1">tertiair!L16</f>
        <v>0</v>
      </c>
      <c r="N10" s="682">
        <f>tertiair!M16</f>
        <v>0</v>
      </c>
      <c r="O10" s="682">
        <f ca="1">tertiair!N16</f>
        <v>78.011952041227744</v>
      </c>
      <c r="P10" s="682">
        <f>tertiair!O16</f>
        <v>0</v>
      </c>
      <c r="Q10" s="683">
        <f>tertiair!P16</f>
        <v>0</v>
      </c>
      <c r="R10" s="685">
        <f ca="1">SUM(C10:Q10)</f>
        <v>1850.4523943805641</v>
      </c>
      <c r="S10" s="67"/>
    </row>
    <row r="11" spans="1:19" s="445" customFormat="1">
      <c r="A11" s="803" t="s">
        <v>220</v>
      </c>
      <c r="B11" s="808"/>
      <c r="C11" s="682">
        <f>huishoudens!B8</f>
        <v>1681.067314307493</v>
      </c>
      <c r="D11" s="682">
        <f>huishoudens!C8</f>
        <v>0</v>
      </c>
      <c r="E11" s="682">
        <f>huishoudens!D8</f>
        <v>4901.0222870857388</v>
      </c>
      <c r="F11" s="682">
        <f>huishoudens!E8</f>
        <v>42.136193162291811</v>
      </c>
      <c r="G11" s="682">
        <f>huishoudens!F8</f>
        <v>957.07646066191944</v>
      </c>
      <c r="H11" s="682">
        <f>huishoudens!G8</f>
        <v>0</v>
      </c>
      <c r="I11" s="682">
        <f>huishoudens!H8</f>
        <v>0</v>
      </c>
      <c r="J11" s="682">
        <f>huishoudens!I8</f>
        <v>0</v>
      </c>
      <c r="K11" s="682">
        <f>huishoudens!J8</f>
        <v>4.7880920553528545</v>
      </c>
      <c r="L11" s="682">
        <f>huishoudens!K8</f>
        <v>0</v>
      </c>
      <c r="M11" s="682">
        <f>huishoudens!L8</f>
        <v>0</v>
      </c>
      <c r="N11" s="682">
        <f>huishoudens!M8</f>
        <v>0</v>
      </c>
      <c r="O11" s="682">
        <f>huishoudens!N8</f>
        <v>558.43814746901842</v>
      </c>
      <c r="P11" s="682">
        <f>huishoudens!O8</f>
        <v>9.9197910969351586</v>
      </c>
      <c r="Q11" s="683">
        <f>huishoudens!P8</f>
        <v>10.533959307685024</v>
      </c>
      <c r="R11" s="685">
        <f>SUM(C11:Q11)</f>
        <v>8164.9822451464333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26.594445271407601</v>
      </c>
      <c r="D13" s="682">
        <f>industrie!C18</f>
        <v>0</v>
      </c>
      <c r="E13" s="682">
        <f>industrie!D18</f>
        <v>67.19839720781286</v>
      </c>
      <c r="F13" s="682">
        <f>industrie!E18</f>
        <v>8.3831976914580719E-2</v>
      </c>
      <c r="G13" s="682">
        <f>industrie!F18</f>
        <v>16.280000867057073</v>
      </c>
      <c r="H13" s="682">
        <f>industrie!G18</f>
        <v>0</v>
      </c>
      <c r="I13" s="682">
        <f>industrie!H18</f>
        <v>0</v>
      </c>
      <c r="J13" s="682">
        <f>industrie!I18</f>
        <v>0</v>
      </c>
      <c r="K13" s="682">
        <f>industrie!J18</f>
        <v>0</v>
      </c>
      <c r="L13" s="682">
        <f>industrie!K18</f>
        <v>0</v>
      </c>
      <c r="M13" s="682">
        <f>industrie!L18</f>
        <v>0</v>
      </c>
      <c r="N13" s="682">
        <f>industrie!M18</f>
        <v>0</v>
      </c>
      <c r="O13" s="682">
        <f>industrie!N18</f>
        <v>1.1151412007227639</v>
      </c>
      <c r="P13" s="682">
        <f>industrie!O18</f>
        <v>0</v>
      </c>
      <c r="Q13" s="683">
        <f>industrie!P18</f>
        <v>0</v>
      </c>
      <c r="R13" s="685">
        <f>SUM(C13:Q13)</f>
        <v>111.27181652391488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2387.1578387844856</v>
      </c>
      <c r="D16" s="718">
        <f t="shared" ref="D16:R16" ca="1" si="0">SUM(D9:D15)</f>
        <v>0</v>
      </c>
      <c r="E16" s="718">
        <f t="shared" ca="1" si="0"/>
        <v>5892.7984962155942</v>
      </c>
      <c r="F16" s="718">
        <f t="shared" si="0"/>
        <v>45.735538378458749</v>
      </c>
      <c r="G16" s="718">
        <f t="shared" ca="1" si="0"/>
        <v>1138.2053454968134</v>
      </c>
      <c r="H16" s="718">
        <f t="shared" si="0"/>
        <v>0</v>
      </c>
      <c r="I16" s="718">
        <f t="shared" si="0"/>
        <v>0</v>
      </c>
      <c r="J16" s="718">
        <f t="shared" si="0"/>
        <v>0</v>
      </c>
      <c r="K16" s="718">
        <f t="shared" si="0"/>
        <v>4.7902460599721657</v>
      </c>
      <c r="L16" s="718">
        <f t="shared" si="0"/>
        <v>0</v>
      </c>
      <c r="M16" s="718">
        <f t="shared" ca="1" si="0"/>
        <v>0</v>
      </c>
      <c r="N16" s="718">
        <f t="shared" si="0"/>
        <v>0</v>
      </c>
      <c r="O16" s="718">
        <f t="shared" ca="1" si="0"/>
        <v>637.56524071096896</v>
      </c>
      <c r="P16" s="718">
        <f t="shared" si="0"/>
        <v>9.9197910969351586</v>
      </c>
      <c r="Q16" s="718">
        <f t="shared" si="0"/>
        <v>10.533959307685024</v>
      </c>
      <c r="R16" s="718">
        <f t="shared" ca="1" si="0"/>
        <v>10126.706456050912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0.53041250787630678</v>
      </c>
      <c r="D19" s="682">
        <f>transport!C54</f>
        <v>0</v>
      </c>
      <c r="E19" s="682">
        <f>transport!D54</f>
        <v>0</v>
      </c>
      <c r="F19" s="682">
        <f>transport!E54</f>
        <v>0</v>
      </c>
      <c r="G19" s="682">
        <f>transport!F54</f>
        <v>0</v>
      </c>
      <c r="H19" s="682">
        <f>transport!G54</f>
        <v>37.859888604783734</v>
      </c>
      <c r="I19" s="682">
        <f>transport!H54</f>
        <v>0</v>
      </c>
      <c r="J19" s="682">
        <f>transport!I54</f>
        <v>0</v>
      </c>
      <c r="K19" s="682">
        <f>transport!J54</f>
        <v>0</v>
      </c>
      <c r="L19" s="682">
        <f>transport!K54</f>
        <v>0</v>
      </c>
      <c r="M19" s="682">
        <f>transport!L54</f>
        <v>0</v>
      </c>
      <c r="N19" s="682">
        <f>transport!M54</f>
        <v>2.0905698119801697</v>
      </c>
      <c r="O19" s="682">
        <f>transport!N54</f>
        <v>0</v>
      </c>
      <c r="P19" s="682">
        <f>transport!O54</f>
        <v>0</v>
      </c>
      <c r="Q19" s="683">
        <f>transport!P54</f>
        <v>0</v>
      </c>
      <c r="R19" s="685">
        <f>SUM(C19:Q19)</f>
        <v>40.480870924640207</v>
      </c>
      <c r="S19" s="67"/>
    </row>
    <row r="20" spans="1:19" s="445" customFormat="1">
      <c r="A20" s="803" t="s">
        <v>302</v>
      </c>
      <c r="B20" s="808"/>
      <c r="C20" s="682">
        <f>transport!B14</f>
        <v>4.972856307234105</v>
      </c>
      <c r="D20" s="682">
        <f>transport!C14</f>
        <v>0</v>
      </c>
      <c r="E20" s="682">
        <f>transport!D14</f>
        <v>8.6179244297496727</v>
      </c>
      <c r="F20" s="682">
        <f>transport!E14</f>
        <v>4.792128156713197</v>
      </c>
      <c r="G20" s="682">
        <f>transport!F14</f>
        <v>0</v>
      </c>
      <c r="H20" s="682">
        <f>transport!G14</f>
        <v>1995.8940832151761</v>
      </c>
      <c r="I20" s="682">
        <f>transport!H14</f>
        <v>525.0636637361639</v>
      </c>
      <c r="J20" s="682">
        <f>transport!I14</f>
        <v>0</v>
      </c>
      <c r="K20" s="682">
        <f>transport!J14</f>
        <v>0</v>
      </c>
      <c r="L20" s="682">
        <f>transport!K14</f>
        <v>0</v>
      </c>
      <c r="M20" s="682">
        <f>transport!L14</f>
        <v>0</v>
      </c>
      <c r="N20" s="682">
        <f>transport!M14</f>
        <v>148.87225443847629</v>
      </c>
      <c r="O20" s="682">
        <f>transport!N14</f>
        <v>0</v>
      </c>
      <c r="P20" s="682">
        <f>transport!O14</f>
        <v>0</v>
      </c>
      <c r="Q20" s="683">
        <f>transport!P14</f>
        <v>0</v>
      </c>
      <c r="R20" s="685">
        <f>SUM(C20:Q20)</f>
        <v>2688.2129102835133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5.5032688151104114</v>
      </c>
      <c r="D22" s="806">
        <f t="shared" ref="D22:R22" si="1">SUM(D18:D21)</f>
        <v>0</v>
      </c>
      <c r="E22" s="806">
        <f t="shared" si="1"/>
        <v>8.6179244297496727</v>
      </c>
      <c r="F22" s="806">
        <f t="shared" si="1"/>
        <v>4.792128156713197</v>
      </c>
      <c r="G22" s="806">
        <f t="shared" si="1"/>
        <v>0</v>
      </c>
      <c r="H22" s="806">
        <f t="shared" si="1"/>
        <v>2033.7539718199598</v>
      </c>
      <c r="I22" s="806">
        <f t="shared" si="1"/>
        <v>525.0636637361639</v>
      </c>
      <c r="J22" s="806">
        <f t="shared" si="1"/>
        <v>0</v>
      </c>
      <c r="K22" s="806">
        <f t="shared" si="1"/>
        <v>0</v>
      </c>
      <c r="L22" s="806">
        <f t="shared" si="1"/>
        <v>0</v>
      </c>
      <c r="M22" s="806">
        <f t="shared" si="1"/>
        <v>0</v>
      </c>
      <c r="N22" s="806">
        <f t="shared" si="1"/>
        <v>150.96282425045646</v>
      </c>
      <c r="O22" s="806">
        <f t="shared" si="1"/>
        <v>0</v>
      </c>
      <c r="P22" s="806">
        <f t="shared" si="1"/>
        <v>0</v>
      </c>
      <c r="Q22" s="806">
        <f t="shared" si="1"/>
        <v>0</v>
      </c>
      <c r="R22" s="806">
        <f t="shared" si="1"/>
        <v>2728.6937812081537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249.96921252089598</v>
      </c>
      <c r="D24" s="682">
        <f>+landbouw!C8</f>
        <v>0</v>
      </c>
      <c r="E24" s="682">
        <f>+landbouw!D8</f>
        <v>22.288727328684384</v>
      </c>
      <c r="F24" s="682">
        <f>+landbouw!E8</f>
        <v>9.3221165361818858</v>
      </c>
      <c r="G24" s="682">
        <f>+landbouw!F8</f>
        <v>810.99671732365789</v>
      </c>
      <c r="H24" s="682">
        <f>+landbouw!G8</f>
        <v>0</v>
      </c>
      <c r="I24" s="682">
        <f>+landbouw!H8</f>
        <v>0</v>
      </c>
      <c r="J24" s="682">
        <f>+landbouw!I8</f>
        <v>0</v>
      </c>
      <c r="K24" s="682">
        <f>+landbouw!J8</f>
        <v>65.61815236152367</v>
      </c>
      <c r="L24" s="682">
        <f>+landbouw!K8</f>
        <v>0</v>
      </c>
      <c r="M24" s="682">
        <f>+landbouw!L8</f>
        <v>0</v>
      </c>
      <c r="N24" s="682">
        <f>+landbouw!M8</f>
        <v>0</v>
      </c>
      <c r="O24" s="682">
        <f>+landbouw!N8</f>
        <v>0</v>
      </c>
      <c r="P24" s="682">
        <f>+landbouw!O8</f>
        <v>0</v>
      </c>
      <c r="Q24" s="683">
        <f>+landbouw!P8</f>
        <v>0</v>
      </c>
      <c r="R24" s="685">
        <f>SUM(C24:Q24)</f>
        <v>1158.1949260709439</v>
      </c>
      <c r="S24" s="67"/>
    </row>
    <row r="25" spans="1:19" s="445" customFormat="1" ht="15" thickBot="1">
      <c r="A25" s="825" t="s">
        <v>703</v>
      </c>
      <c r="B25" s="938"/>
      <c r="C25" s="939">
        <f>IF(Onbekend_ele_kWh="---",0,Onbekend_ele_kWh)/1000+IF(REST_rest_ele_kWh="---",0,REST_rest_ele_kWh)/1000</f>
        <v>21.322687185870802</v>
      </c>
      <c r="D25" s="939"/>
      <c r="E25" s="939">
        <f>IF(onbekend_gas_kWh="---",0,onbekend_gas_kWh)/1000+IF(REST_rest_gas_kWh="---",0,REST_rest_gas_kWh)/1000</f>
        <v>26.011850396087898</v>
      </c>
      <c r="F25" s="939"/>
      <c r="G25" s="939"/>
      <c r="H25" s="939"/>
      <c r="I25" s="939"/>
      <c r="J25" s="939"/>
      <c r="K25" s="939"/>
      <c r="L25" s="939"/>
      <c r="M25" s="939"/>
      <c r="N25" s="939"/>
      <c r="O25" s="939"/>
      <c r="P25" s="939"/>
      <c r="Q25" s="940"/>
      <c r="R25" s="685">
        <f>SUM(C25:Q25)</f>
        <v>47.334537581958699</v>
      </c>
      <c r="S25" s="67"/>
    </row>
    <row r="26" spans="1:19" s="445" customFormat="1" ht="15.75" thickBot="1">
      <c r="A26" s="690" t="s">
        <v>704</v>
      </c>
      <c r="B26" s="811"/>
      <c r="C26" s="806">
        <f>SUM(C24:C25)</f>
        <v>271.2918997067668</v>
      </c>
      <c r="D26" s="806">
        <f t="shared" ref="D26:R26" si="2">SUM(D24:D25)</f>
        <v>0</v>
      </c>
      <c r="E26" s="806">
        <f t="shared" si="2"/>
        <v>48.300577724772282</v>
      </c>
      <c r="F26" s="806">
        <f t="shared" si="2"/>
        <v>9.3221165361818858</v>
      </c>
      <c r="G26" s="806">
        <f t="shared" si="2"/>
        <v>810.99671732365789</v>
      </c>
      <c r="H26" s="806">
        <f t="shared" si="2"/>
        <v>0</v>
      </c>
      <c r="I26" s="806">
        <f t="shared" si="2"/>
        <v>0</v>
      </c>
      <c r="J26" s="806">
        <f t="shared" si="2"/>
        <v>0</v>
      </c>
      <c r="K26" s="806">
        <f t="shared" si="2"/>
        <v>65.61815236152367</v>
      </c>
      <c r="L26" s="806">
        <f t="shared" si="2"/>
        <v>0</v>
      </c>
      <c r="M26" s="806">
        <f t="shared" si="2"/>
        <v>0</v>
      </c>
      <c r="N26" s="806">
        <f t="shared" si="2"/>
        <v>0</v>
      </c>
      <c r="O26" s="806">
        <f t="shared" si="2"/>
        <v>0</v>
      </c>
      <c r="P26" s="806">
        <f t="shared" si="2"/>
        <v>0</v>
      </c>
      <c r="Q26" s="806">
        <f t="shared" si="2"/>
        <v>0</v>
      </c>
      <c r="R26" s="806">
        <f t="shared" si="2"/>
        <v>1205.5294636529027</v>
      </c>
      <c r="S26" s="67"/>
    </row>
    <row r="27" spans="1:19" s="445" customFormat="1" ht="17.25" thickTop="1" thickBot="1">
      <c r="A27" s="691" t="s">
        <v>115</v>
      </c>
      <c r="B27" s="798"/>
      <c r="C27" s="692">
        <f ca="1">C22+C16+C26</f>
        <v>2663.9530073063629</v>
      </c>
      <c r="D27" s="692">
        <f t="shared" ref="D27:R27" ca="1" si="3">D22+D16+D26</f>
        <v>0</v>
      </c>
      <c r="E27" s="692">
        <f t="shared" ca="1" si="3"/>
        <v>5949.7169983701169</v>
      </c>
      <c r="F27" s="692">
        <f t="shared" si="3"/>
        <v>59.849783071353833</v>
      </c>
      <c r="G27" s="692">
        <f t="shared" ca="1" si="3"/>
        <v>1949.2020628204714</v>
      </c>
      <c r="H27" s="692">
        <f t="shared" si="3"/>
        <v>2033.7539718199598</v>
      </c>
      <c r="I27" s="692">
        <f t="shared" si="3"/>
        <v>525.0636637361639</v>
      </c>
      <c r="J27" s="692">
        <f t="shared" si="3"/>
        <v>0</v>
      </c>
      <c r="K27" s="692">
        <f t="shared" si="3"/>
        <v>70.408398421495832</v>
      </c>
      <c r="L27" s="692">
        <f t="shared" si="3"/>
        <v>0</v>
      </c>
      <c r="M27" s="692">
        <f t="shared" ca="1" si="3"/>
        <v>0</v>
      </c>
      <c r="N27" s="692">
        <f t="shared" si="3"/>
        <v>150.96282425045646</v>
      </c>
      <c r="O27" s="692">
        <f t="shared" ca="1" si="3"/>
        <v>637.56524071096896</v>
      </c>
      <c r="P27" s="692">
        <f t="shared" si="3"/>
        <v>9.9197910969351586</v>
      </c>
      <c r="Q27" s="692">
        <f t="shared" si="3"/>
        <v>10.533959307685024</v>
      </c>
      <c r="R27" s="692">
        <f t="shared" ca="1" si="3"/>
        <v>14060.929700911969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136.92933924736178</v>
      </c>
      <c r="D40" s="682">
        <f ca="1">tertiair!C20</f>
        <v>0</v>
      </c>
      <c r="E40" s="682">
        <f ca="1">tertiair!D20</f>
        <v>186.76471800825257</v>
      </c>
      <c r="F40" s="682">
        <f>tertiair!E20</f>
        <v>0.7980215053102846</v>
      </c>
      <c r="G40" s="682">
        <f ca="1">tertiair!F20</f>
        <v>44.014652019412473</v>
      </c>
      <c r="H40" s="682">
        <f>tertiair!G20</f>
        <v>0</v>
      </c>
      <c r="I40" s="682">
        <f>tertiair!H20</f>
        <v>0</v>
      </c>
      <c r="J40" s="682">
        <f>tertiair!I20</f>
        <v>0</v>
      </c>
      <c r="K40" s="682">
        <f>tertiair!J20</f>
        <v>7.6251763523629834E-4</v>
      </c>
      <c r="L40" s="682">
        <f>tertiair!K20</f>
        <v>0</v>
      </c>
      <c r="M40" s="682">
        <f ca="1">tertiair!L20</f>
        <v>0</v>
      </c>
      <c r="N40" s="682">
        <f>tertiair!M20</f>
        <v>0</v>
      </c>
      <c r="O40" s="682">
        <f ca="1">tertiair!N20</f>
        <v>0</v>
      </c>
      <c r="P40" s="682">
        <f>tertiair!O20</f>
        <v>0</v>
      </c>
      <c r="Q40" s="765">
        <f>tertiair!P20</f>
        <v>0</v>
      </c>
      <c r="R40" s="844">
        <f t="shared" ca="1" si="4"/>
        <v>368.5074932979723</v>
      </c>
    </row>
    <row r="41" spans="1:18">
      <c r="A41" s="816" t="s">
        <v>220</v>
      </c>
      <c r="B41" s="823"/>
      <c r="C41" s="682">
        <f ca="1">huishoudens!B12</f>
        <v>338.76197909424229</v>
      </c>
      <c r="D41" s="682">
        <f ca="1">huishoudens!C12</f>
        <v>0</v>
      </c>
      <c r="E41" s="682">
        <f>huishoudens!D12</f>
        <v>990.00650199131928</v>
      </c>
      <c r="F41" s="682">
        <f>huishoudens!E12</f>
        <v>9.5649158478402416</v>
      </c>
      <c r="G41" s="682">
        <f>huishoudens!F12</f>
        <v>255.53941499673252</v>
      </c>
      <c r="H41" s="682">
        <f>huishoudens!G12</f>
        <v>0</v>
      </c>
      <c r="I41" s="682">
        <f>huishoudens!H12</f>
        <v>0</v>
      </c>
      <c r="J41" s="682">
        <f>huishoudens!I12</f>
        <v>0</v>
      </c>
      <c r="K41" s="682">
        <f>huishoudens!J12</f>
        <v>1.6949845875949103</v>
      </c>
      <c r="L41" s="682">
        <f>huishoudens!K12</f>
        <v>0</v>
      </c>
      <c r="M41" s="682">
        <f>huishoudens!L12</f>
        <v>0</v>
      </c>
      <c r="N41" s="682">
        <f>huishoudens!M12</f>
        <v>0</v>
      </c>
      <c r="O41" s="682">
        <f>huishoudens!N12</f>
        <v>0</v>
      </c>
      <c r="P41" s="682">
        <f>huishoudens!O12</f>
        <v>0</v>
      </c>
      <c r="Q41" s="765">
        <f>huishoudens!P12</f>
        <v>0</v>
      </c>
      <c r="R41" s="844">
        <f t="shared" ca="1" si="4"/>
        <v>1595.5677965177294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5.3592065209874367</v>
      </c>
      <c r="D43" s="682">
        <f ca="1">industrie!C22</f>
        <v>0</v>
      </c>
      <c r="E43" s="682">
        <f>industrie!D22</f>
        <v>13.574076235978199</v>
      </c>
      <c r="F43" s="682">
        <f>industrie!E22</f>
        <v>1.9029858759609823E-2</v>
      </c>
      <c r="G43" s="682">
        <f>industrie!F22</f>
        <v>4.3467602315042386</v>
      </c>
      <c r="H43" s="682">
        <f>industrie!G22</f>
        <v>0</v>
      </c>
      <c r="I43" s="682">
        <f>industrie!H22</f>
        <v>0</v>
      </c>
      <c r="J43" s="682">
        <f>industrie!I22</f>
        <v>0</v>
      </c>
      <c r="K43" s="682">
        <f>industrie!J22</f>
        <v>0</v>
      </c>
      <c r="L43" s="682">
        <f>industrie!K22</f>
        <v>0</v>
      </c>
      <c r="M43" s="682">
        <f>industrie!L22</f>
        <v>0</v>
      </c>
      <c r="N43" s="682">
        <f>industrie!M22</f>
        <v>0</v>
      </c>
      <c r="O43" s="682">
        <f>industrie!N22</f>
        <v>0</v>
      </c>
      <c r="P43" s="682">
        <f>industrie!O22</f>
        <v>0</v>
      </c>
      <c r="Q43" s="765">
        <f>industrie!P22</f>
        <v>0</v>
      </c>
      <c r="R43" s="843">
        <f t="shared" ca="1" si="4"/>
        <v>23.299072847229482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481.05052486259149</v>
      </c>
      <c r="D46" s="718">
        <f t="shared" ref="D46:Q46" ca="1" si="5">SUM(D39:D45)</f>
        <v>0</v>
      </c>
      <c r="E46" s="718">
        <f t="shared" ca="1" si="5"/>
        <v>1190.3452962355502</v>
      </c>
      <c r="F46" s="718">
        <f t="shared" si="5"/>
        <v>10.381967211910135</v>
      </c>
      <c r="G46" s="718">
        <f t="shared" ca="1" si="5"/>
        <v>303.9008272476492</v>
      </c>
      <c r="H46" s="718">
        <f t="shared" si="5"/>
        <v>0</v>
      </c>
      <c r="I46" s="718">
        <f t="shared" si="5"/>
        <v>0</v>
      </c>
      <c r="J46" s="718">
        <f t="shared" si="5"/>
        <v>0</v>
      </c>
      <c r="K46" s="718">
        <f t="shared" si="5"/>
        <v>1.6957471052301467</v>
      </c>
      <c r="L46" s="718">
        <f t="shared" si="5"/>
        <v>0</v>
      </c>
      <c r="M46" s="718">
        <f t="shared" ca="1" si="5"/>
        <v>0</v>
      </c>
      <c r="N46" s="718">
        <f t="shared" si="5"/>
        <v>0</v>
      </c>
      <c r="O46" s="718">
        <f t="shared" ca="1" si="5"/>
        <v>0</v>
      </c>
      <c r="P46" s="718">
        <f t="shared" si="5"/>
        <v>0</v>
      </c>
      <c r="Q46" s="718">
        <f t="shared" si="5"/>
        <v>0</v>
      </c>
      <c r="R46" s="718">
        <f ca="1">SUM(R39:R45)</f>
        <v>1987.3743626629314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0.10688661267472076</v>
      </c>
      <c r="D49" s="682">
        <f ca="1">transport!C58</f>
        <v>0</v>
      </c>
      <c r="E49" s="682">
        <f>transport!D58</f>
        <v>0</v>
      </c>
      <c r="F49" s="682">
        <f>transport!E58</f>
        <v>0</v>
      </c>
      <c r="G49" s="682">
        <f>transport!F58</f>
        <v>0</v>
      </c>
      <c r="H49" s="682">
        <f>transport!G58</f>
        <v>10.108590257477257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10.215476870151978</v>
      </c>
    </row>
    <row r="50" spans="1:18">
      <c r="A50" s="819" t="s">
        <v>302</v>
      </c>
      <c r="B50" s="829"/>
      <c r="C50" s="688">
        <f ca="1">transport!B18</f>
        <v>1.0021101654004136</v>
      </c>
      <c r="D50" s="688">
        <f>transport!C18</f>
        <v>0</v>
      </c>
      <c r="E50" s="688">
        <f>transport!D18</f>
        <v>1.740820734809434</v>
      </c>
      <c r="F50" s="688">
        <f>transport!E18</f>
        <v>1.0878130915738957</v>
      </c>
      <c r="G50" s="688">
        <f>transport!F18</f>
        <v>0</v>
      </c>
      <c r="H50" s="688">
        <f>transport!G18</f>
        <v>532.90372021845201</v>
      </c>
      <c r="I50" s="688">
        <f>transport!H18</f>
        <v>130.7408522703048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667.47531648054053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1.1089967780751344</v>
      </c>
      <c r="D52" s="718">
        <f t="shared" ref="D52:Q52" ca="1" si="6">SUM(D48:D51)</f>
        <v>0</v>
      </c>
      <c r="E52" s="718">
        <f t="shared" si="6"/>
        <v>1.740820734809434</v>
      </c>
      <c r="F52" s="718">
        <f t="shared" si="6"/>
        <v>1.0878130915738957</v>
      </c>
      <c r="G52" s="718">
        <f t="shared" si="6"/>
        <v>0</v>
      </c>
      <c r="H52" s="718">
        <f t="shared" si="6"/>
        <v>543.01231047592921</v>
      </c>
      <c r="I52" s="718">
        <f t="shared" si="6"/>
        <v>130.7408522703048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677.6907933506925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50.372798534299911</v>
      </c>
      <c r="D54" s="688">
        <f ca="1">+landbouw!C12</f>
        <v>0</v>
      </c>
      <c r="E54" s="688">
        <f>+landbouw!D12</f>
        <v>4.5023229203942456</v>
      </c>
      <c r="F54" s="688">
        <f>+landbouw!E12</f>
        <v>2.1161204537132883</v>
      </c>
      <c r="G54" s="688">
        <f>+landbouw!F12</f>
        <v>216.53612352541666</v>
      </c>
      <c r="H54" s="688">
        <f>+landbouw!G12</f>
        <v>0</v>
      </c>
      <c r="I54" s="688">
        <f>+landbouw!H12</f>
        <v>0</v>
      </c>
      <c r="J54" s="688">
        <f>+landbouw!I12</f>
        <v>0</v>
      </c>
      <c r="K54" s="688">
        <f>+landbouw!J12</f>
        <v>23.228825935979376</v>
      </c>
      <c r="L54" s="688">
        <f>+landbouw!K12</f>
        <v>0</v>
      </c>
      <c r="M54" s="688">
        <f>+landbouw!L12</f>
        <v>0</v>
      </c>
      <c r="N54" s="688">
        <f>+landbouw!M12</f>
        <v>0</v>
      </c>
      <c r="O54" s="688">
        <f>+landbouw!N12</f>
        <v>0</v>
      </c>
      <c r="P54" s="688">
        <f>+landbouw!O12</f>
        <v>0</v>
      </c>
      <c r="Q54" s="689">
        <f>+landbouw!P12</f>
        <v>0</v>
      </c>
      <c r="R54" s="717">
        <f ca="1">SUM(C54:Q54)</f>
        <v>296.7561913698035</v>
      </c>
    </row>
    <row r="55" spans="1:18" ht="15" thickBot="1">
      <c r="A55" s="819" t="s">
        <v>703</v>
      </c>
      <c r="B55" s="829"/>
      <c r="C55" s="688">
        <f ca="1">C25*'EF ele_warmte'!B12</f>
        <v>4.2968628615973303</v>
      </c>
      <c r="D55" s="688"/>
      <c r="E55" s="688">
        <f>E25*EF_CO2_aardgas</f>
        <v>5.2543937800097558</v>
      </c>
      <c r="F55" s="688"/>
      <c r="G55" s="688"/>
      <c r="H55" s="688"/>
      <c r="I55" s="688"/>
      <c r="J55" s="688"/>
      <c r="K55" s="688"/>
      <c r="L55" s="688"/>
      <c r="M55" s="688"/>
      <c r="N55" s="688"/>
      <c r="O55" s="688"/>
      <c r="P55" s="688"/>
      <c r="Q55" s="689"/>
      <c r="R55" s="717">
        <f ca="1">SUM(C55:Q55)</f>
        <v>9.5512566416070861</v>
      </c>
    </row>
    <row r="56" spans="1:18" ht="15.75" thickBot="1">
      <c r="A56" s="817" t="s">
        <v>704</v>
      </c>
      <c r="B56" s="830"/>
      <c r="C56" s="718">
        <f ca="1">SUM(C54:C55)</f>
        <v>54.669661395897243</v>
      </c>
      <c r="D56" s="718">
        <f t="shared" ref="D56:Q56" ca="1" si="7">SUM(D54:D55)</f>
        <v>0</v>
      </c>
      <c r="E56" s="718">
        <f t="shared" si="7"/>
        <v>9.7567167004040023</v>
      </c>
      <c r="F56" s="718">
        <f t="shared" si="7"/>
        <v>2.1161204537132883</v>
      </c>
      <c r="G56" s="718">
        <f t="shared" si="7"/>
        <v>216.53612352541666</v>
      </c>
      <c r="H56" s="718">
        <f t="shared" si="7"/>
        <v>0</v>
      </c>
      <c r="I56" s="718">
        <f t="shared" si="7"/>
        <v>0</v>
      </c>
      <c r="J56" s="718">
        <f t="shared" si="7"/>
        <v>0</v>
      </c>
      <c r="K56" s="718">
        <f t="shared" si="7"/>
        <v>23.228825935979376</v>
      </c>
      <c r="L56" s="718">
        <f t="shared" si="7"/>
        <v>0</v>
      </c>
      <c r="M56" s="718">
        <f t="shared" si="7"/>
        <v>0</v>
      </c>
      <c r="N56" s="718">
        <f t="shared" si="7"/>
        <v>0</v>
      </c>
      <c r="O56" s="718">
        <f t="shared" si="7"/>
        <v>0</v>
      </c>
      <c r="P56" s="718">
        <f t="shared" si="7"/>
        <v>0</v>
      </c>
      <c r="Q56" s="719">
        <f t="shared" si="7"/>
        <v>0</v>
      </c>
      <c r="R56" s="720">
        <f ca="1">SUM(R54:R55)</f>
        <v>306.3074480114106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536.8291830365639</v>
      </c>
      <c r="D61" s="726">
        <f t="shared" ref="D61:Q61" ca="1" si="8">D46+D52+D56</f>
        <v>0</v>
      </c>
      <c r="E61" s="726">
        <f t="shared" ca="1" si="8"/>
        <v>1201.8428336707636</v>
      </c>
      <c r="F61" s="726">
        <f t="shared" si="8"/>
        <v>13.585900757197319</v>
      </c>
      <c r="G61" s="726">
        <f t="shared" ca="1" si="8"/>
        <v>520.43695077306586</v>
      </c>
      <c r="H61" s="726">
        <f t="shared" si="8"/>
        <v>543.01231047592921</v>
      </c>
      <c r="I61" s="726">
        <f t="shared" si="8"/>
        <v>130.7408522703048</v>
      </c>
      <c r="J61" s="726">
        <f t="shared" si="8"/>
        <v>0</v>
      </c>
      <c r="K61" s="726">
        <f t="shared" si="8"/>
        <v>24.924573041209523</v>
      </c>
      <c r="L61" s="726">
        <f t="shared" si="8"/>
        <v>0</v>
      </c>
      <c r="M61" s="726">
        <f t="shared" ca="1" si="8"/>
        <v>0</v>
      </c>
      <c r="N61" s="726">
        <f t="shared" si="8"/>
        <v>0</v>
      </c>
      <c r="O61" s="726">
        <f t="shared" ca="1" si="8"/>
        <v>0</v>
      </c>
      <c r="P61" s="726">
        <f t="shared" si="8"/>
        <v>0</v>
      </c>
      <c r="Q61" s="726">
        <f t="shared" si="8"/>
        <v>0</v>
      </c>
      <c r="R61" s="726">
        <f ca="1">R46+R52+R56</f>
        <v>2971.3726040250344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0.20151601081708828</v>
      </c>
      <c r="D63" s="772">
        <f t="shared" ca="1" si="9"/>
        <v>0</v>
      </c>
      <c r="E63" s="964">
        <f t="shared" ca="1" si="9"/>
        <v>0.20200000000000001</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234.86168134906015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234.86168134906015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1681.067314307493</v>
      </c>
      <c r="C4" s="449">
        <f>huishoudens!C8</f>
        <v>0</v>
      </c>
      <c r="D4" s="449">
        <f>huishoudens!D8</f>
        <v>4901.0222870857388</v>
      </c>
      <c r="E4" s="449">
        <f>huishoudens!E8</f>
        <v>42.136193162291811</v>
      </c>
      <c r="F4" s="449">
        <f>huishoudens!F8</f>
        <v>957.07646066191944</v>
      </c>
      <c r="G4" s="449">
        <f>huishoudens!G8</f>
        <v>0</v>
      </c>
      <c r="H4" s="449">
        <f>huishoudens!H8</f>
        <v>0</v>
      </c>
      <c r="I4" s="449">
        <f>huishoudens!I8</f>
        <v>0</v>
      </c>
      <c r="J4" s="449">
        <f>huishoudens!J8</f>
        <v>4.7880920553528545</v>
      </c>
      <c r="K4" s="449">
        <f>huishoudens!K8</f>
        <v>0</v>
      </c>
      <c r="L4" s="449">
        <f>huishoudens!L8</f>
        <v>0</v>
      </c>
      <c r="M4" s="449">
        <f>huishoudens!M8</f>
        <v>0</v>
      </c>
      <c r="N4" s="449">
        <f>huishoudens!N8</f>
        <v>558.43814746901842</v>
      </c>
      <c r="O4" s="449">
        <f>huishoudens!O8</f>
        <v>9.9197910969351586</v>
      </c>
      <c r="P4" s="450">
        <f>huishoudens!P8</f>
        <v>10.533959307685024</v>
      </c>
      <c r="Q4" s="451">
        <f>SUM(B4:P4)</f>
        <v>8164.9822451464333</v>
      </c>
    </row>
    <row r="5" spans="1:17">
      <c r="A5" s="448" t="s">
        <v>155</v>
      </c>
      <c r="B5" s="449">
        <f ca="1">tertiair!B16</f>
        <v>615.44007920558522</v>
      </c>
      <c r="C5" s="449">
        <f ca="1">tertiair!C16</f>
        <v>0</v>
      </c>
      <c r="D5" s="449">
        <f ca="1">tertiair!D16</f>
        <v>924.57781192204243</v>
      </c>
      <c r="E5" s="449">
        <f>tertiair!E16</f>
        <v>3.5155132392523551</v>
      </c>
      <c r="F5" s="449">
        <f ca="1">tertiair!F16</f>
        <v>164.84888396783697</v>
      </c>
      <c r="G5" s="449">
        <f>tertiair!G16</f>
        <v>0</v>
      </c>
      <c r="H5" s="449">
        <f>tertiair!H16</f>
        <v>0</v>
      </c>
      <c r="I5" s="449">
        <f>tertiair!I16</f>
        <v>0</v>
      </c>
      <c r="J5" s="449">
        <f>tertiair!J16</f>
        <v>2.1540046193115774E-3</v>
      </c>
      <c r="K5" s="449">
        <f>tertiair!K16</f>
        <v>0</v>
      </c>
      <c r="L5" s="449">
        <f ca="1">tertiair!L16</f>
        <v>0</v>
      </c>
      <c r="M5" s="449">
        <f>tertiair!M16</f>
        <v>0</v>
      </c>
      <c r="N5" s="449">
        <f ca="1">tertiair!N16</f>
        <v>78.011952041227744</v>
      </c>
      <c r="O5" s="449">
        <f>tertiair!O16</f>
        <v>0</v>
      </c>
      <c r="P5" s="450">
        <f>tertiair!P16</f>
        <v>0</v>
      </c>
      <c r="Q5" s="448">
        <f t="shared" ref="Q5:Q14" ca="1" si="0">SUM(B5:P5)</f>
        <v>1786.3963943805641</v>
      </c>
    </row>
    <row r="6" spans="1:17">
      <c r="A6" s="448" t="s">
        <v>193</v>
      </c>
      <c r="B6" s="449">
        <f>'openbare verlichting'!B8</f>
        <v>64.055999999999997</v>
      </c>
      <c r="C6" s="449"/>
      <c r="D6" s="449"/>
      <c r="E6" s="449"/>
      <c r="F6" s="449"/>
      <c r="G6" s="449"/>
      <c r="H6" s="449"/>
      <c r="I6" s="449"/>
      <c r="J6" s="449"/>
      <c r="K6" s="449"/>
      <c r="L6" s="449"/>
      <c r="M6" s="449"/>
      <c r="N6" s="449"/>
      <c r="O6" s="449"/>
      <c r="P6" s="450"/>
      <c r="Q6" s="448">
        <f t="shared" si="0"/>
        <v>64.055999999999997</v>
      </c>
    </row>
    <row r="7" spans="1:17">
      <c r="A7" s="448" t="s">
        <v>111</v>
      </c>
      <c r="B7" s="449">
        <f>landbouw!B8</f>
        <v>249.96921252089598</v>
      </c>
      <c r="C7" s="449">
        <f>landbouw!C8</f>
        <v>0</v>
      </c>
      <c r="D7" s="449">
        <f>landbouw!D8</f>
        <v>22.288727328684384</v>
      </c>
      <c r="E7" s="449">
        <f>landbouw!E8</f>
        <v>9.3221165361818858</v>
      </c>
      <c r="F7" s="449">
        <f>landbouw!F8</f>
        <v>810.99671732365789</v>
      </c>
      <c r="G7" s="449">
        <f>landbouw!G8</f>
        <v>0</v>
      </c>
      <c r="H7" s="449">
        <f>landbouw!H8</f>
        <v>0</v>
      </c>
      <c r="I7" s="449">
        <f>landbouw!I8</f>
        <v>0</v>
      </c>
      <c r="J7" s="449">
        <f>landbouw!J8</f>
        <v>65.61815236152367</v>
      </c>
      <c r="K7" s="449">
        <f>landbouw!K8</f>
        <v>0</v>
      </c>
      <c r="L7" s="449">
        <f>landbouw!L8</f>
        <v>0</v>
      </c>
      <c r="M7" s="449">
        <f>landbouw!M8</f>
        <v>0</v>
      </c>
      <c r="N7" s="449">
        <f>landbouw!N8</f>
        <v>0</v>
      </c>
      <c r="O7" s="449">
        <f>landbouw!O8</f>
        <v>0</v>
      </c>
      <c r="P7" s="450">
        <f>landbouw!P8</f>
        <v>0</v>
      </c>
      <c r="Q7" s="448">
        <f t="shared" si="0"/>
        <v>1158.1949260709439</v>
      </c>
    </row>
    <row r="8" spans="1:17">
      <c r="A8" s="448" t="s">
        <v>618</v>
      </c>
      <c r="B8" s="449">
        <f>industrie!B18</f>
        <v>26.594445271407601</v>
      </c>
      <c r="C8" s="449">
        <f>industrie!C18</f>
        <v>0</v>
      </c>
      <c r="D8" s="449">
        <f>industrie!D18</f>
        <v>67.19839720781286</v>
      </c>
      <c r="E8" s="449">
        <f>industrie!E18</f>
        <v>8.3831976914580719E-2</v>
      </c>
      <c r="F8" s="449">
        <f>industrie!F18</f>
        <v>16.280000867057073</v>
      </c>
      <c r="G8" s="449">
        <f>industrie!G18</f>
        <v>0</v>
      </c>
      <c r="H8" s="449">
        <f>industrie!H18</f>
        <v>0</v>
      </c>
      <c r="I8" s="449">
        <f>industrie!I18</f>
        <v>0</v>
      </c>
      <c r="J8" s="449">
        <f>industrie!J18</f>
        <v>0</v>
      </c>
      <c r="K8" s="449">
        <f>industrie!K18</f>
        <v>0</v>
      </c>
      <c r="L8" s="449">
        <f>industrie!L18</f>
        <v>0</v>
      </c>
      <c r="M8" s="449">
        <f>industrie!M18</f>
        <v>0</v>
      </c>
      <c r="N8" s="449">
        <f>industrie!N18</f>
        <v>1.1151412007227639</v>
      </c>
      <c r="O8" s="449">
        <f>industrie!O18</f>
        <v>0</v>
      </c>
      <c r="P8" s="450">
        <f>industrie!P18</f>
        <v>0</v>
      </c>
      <c r="Q8" s="448">
        <f t="shared" si="0"/>
        <v>111.27181652391488</v>
      </c>
    </row>
    <row r="9" spans="1:17" s="454" customFormat="1">
      <c r="A9" s="452" t="s">
        <v>544</v>
      </c>
      <c r="B9" s="453">
        <f>transport!B14</f>
        <v>4.972856307234105</v>
      </c>
      <c r="C9" s="453">
        <f>transport!C14</f>
        <v>0</v>
      </c>
      <c r="D9" s="453">
        <f>transport!D14</f>
        <v>8.6179244297496727</v>
      </c>
      <c r="E9" s="453">
        <f>transport!E14</f>
        <v>4.792128156713197</v>
      </c>
      <c r="F9" s="453">
        <f>transport!F14</f>
        <v>0</v>
      </c>
      <c r="G9" s="453">
        <f>transport!G14</f>
        <v>1995.8940832151761</v>
      </c>
      <c r="H9" s="453">
        <f>transport!H14</f>
        <v>525.0636637361639</v>
      </c>
      <c r="I9" s="453">
        <f>transport!I14</f>
        <v>0</v>
      </c>
      <c r="J9" s="453">
        <f>transport!J14</f>
        <v>0</v>
      </c>
      <c r="K9" s="453">
        <f>transport!K14</f>
        <v>0</v>
      </c>
      <c r="L9" s="453">
        <f>transport!L14</f>
        <v>0</v>
      </c>
      <c r="M9" s="453">
        <f>transport!M14</f>
        <v>148.87225443847629</v>
      </c>
      <c r="N9" s="453">
        <f>transport!N14</f>
        <v>0</v>
      </c>
      <c r="O9" s="453">
        <f>transport!O14</f>
        <v>0</v>
      </c>
      <c r="P9" s="453">
        <f>transport!P14</f>
        <v>0</v>
      </c>
      <c r="Q9" s="452">
        <f>SUM(B9:P9)</f>
        <v>2688.2129102835133</v>
      </c>
    </row>
    <row r="10" spans="1:17">
      <c r="A10" s="448" t="s">
        <v>534</v>
      </c>
      <c r="B10" s="449">
        <f>transport!B54</f>
        <v>0.53041250787630678</v>
      </c>
      <c r="C10" s="449">
        <f>transport!C54</f>
        <v>0</v>
      </c>
      <c r="D10" s="449">
        <f>transport!D54</f>
        <v>0</v>
      </c>
      <c r="E10" s="449">
        <f>transport!E54</f>
        <v>0</v>
      </c>
      <c r="F10" s="449">
        <f>transport!F54</f>
        <v>0</v>
      </c>
      <c r="G10" s="449">
        <f>transport!G54</f>
        <v>37.859888604783734</v>
      </c>
      <c r="H10" s="449">
        <f>transport!H54</f>
        <v>0</v>
      </c>
      <c r="I10" s="449">
        <f>transport!I54</f>
        <v>0</v>
      </c>
      <c r="J10" s="449">
        <f>transport!J54</f>
        <v>0</v>
      </c>
      <c r="K10" s="449">
        <f>transport!K54</f>
        <v>0</v>
      </c>
      <c r="L10" s="449">
        <f>transport!L54</f>
        <v>0</v>
      </c>
      <c r="M10" s="449">
        <f>transport!M54</f>
        <v>2.0905698119801697</v>
      </c>
      <c r="N10" s="449">
        <f>transport!N54</f>
        <v>0</v>
      </c>
      <c r="O10" s="449">
        <f>transport!O54</f>
        <v>0</v>
      </c>
      <c r="P10" s="450">
        <f>transport!P54</f>
        <v>0</v>
      </c>
      <c r="Q10" s="448">
        <f t="shared" si="0"/>
        <v>40.480870924640207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21.322687185870802</v>
      </c>
      <c r="C14" s="456"/>
      <c r="D14" s="456">
        <f>'SEAP template'!E25</f>
        <v>26.011850396087898</v>
      </c>
      <c r="E14" s="456"/>
      <c r="F14" s="456"/>
      <c r="G14" s="456"/>
      <c r="H14" s="456"/>
      <c r="I14" s="456"/>
      <c r="J14" s="456"/>
      <c r="K14" s="456"/>
      <c r="L14" s="456"/>
      <c r="M14" s="456"/>
      <c r="N14" s="456"/>
      <c r="O14" s="456"/>
      <c r="P14" s="457"/>
      <c r="Q14" s="448">
        <f t="shared" si="0"/>
        <v>47.334537581958699</v>
      </c>
    </row>
    <row r="15" spans="1:17" s="460" customFormat="1">
      <c r="A15" s="458" t="s">
        <v>538</v>
      </c>
      <c r="B15" s="459">
        <f ca="1">SUM(B4:B14)</f>
        <v>2663.9530073063629</v>
      </c>
      <c r="C15" s="459">
        <f t="shared" ref="C15:Q15" ca="1" si="1">SUM(C4:C14)</f>
        <v>0</v>
      </c>
      <c r="D15" s="459">
        <f t="shared" ca="1" si="1"/>
        <v>5949.716998370116</v>
      </c>
      <c r="E15" s="459">
        <f t="shared" si="1"/>
        <v>59.849783071353833</v>
      </c>
      <c r="F15" s="459">
        <f t="shared" ca="1" si="1"/>
        <v>1949.2020628204714</v>
      </c>
      <c r="G15" s="459">
        <f t="shared" si="1"/>
        <v>2033.7539718199598</v>
      </c>
      <c r="H15" s="459">
        <f t="shared" si="1"/>
        <v>525.0636637361639</v>
      </c>
      <c r="I15" s="459">
        <f t="shared" si="1"/>
        <v>0</v>
      </c>
      <c r="J15" s="459">
        <f t="shared" si="1"/>
        <v>70.408398421495832</v>
      </c>
      <c r="K15" s="459">
        <f t="shared" si="1"/>
        <v>0</v>
      </c>
      <c r="L15" s="459">
        <f t="shared" ca="1" si="1"/>
        <v>0</v>
      </c>
      <c r="M15" s="459">
        <f t="shared" si="1"/>
        <v>150.96282425045646</v>
      </c>
      <c r="N15" s="459">
        <f t="shared" ca="1" si="1"/>
        <v>637.56524071096896</v>
      </c>
      <c r="O15" s="459">
        <f t="shared" si="1"/>
        <v>9.9197910969351586</v>
      </c>
      <c r="P15" s="459">
        <f t="shared" si="1"/>
        <v>10.533959307685024</v>
      </c>
      <c r="Q15" s="459">
        <f t="shared" ca="1" si="1"/>
        <v>14060.929700911971</v>
      </c>
    </row>
    <row r="17" spans="1:17">
      <c r="A17" s="461" t="s">
        <v>539</v>
      </c>
      <c r="B17" s="777">
        <f ca="1">huishoudens!B10</f>
        <v>0.20151601081708828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338.76197909424229</v>
      </c>
      <c r="C22" s="449">
        <f t="shared" ref="C22:C32" ca="1" si="3">C4*$C$17</f>
        <v>0</v>
      </c>
      <c r="D22" s="449">
        <f t="shared" ref="D22:D32" si="4">D4*$D$17</f>
        <v>990.00650199131928</v>
      </c>
      <c r="E22" s="449">
        <f t="shared" ref="E22:E32" si="5">E4*$E$17</f>
        <v>9.5649158478402416</v>
      </c>
      <c r="F22" s="449">
        <f t="shared" ref="F22:F32" si="6">F4*$F$17</f>
        <v>255.53941499673252</v>
      </c>
      <c r="G22" s="449">
        <f t="shared" ref="G22:G32" si="7">G4*$G$17</f>
        <v>0</v>
      </c>
      <c r="H22" s="449">
        <f t="shared" ref="H22:H32" si="8">H4*$H$17</f>
        <v>0</v>
      </c>
      <c r="I22" s="449">
        <f t="shared" ref="I22:I32" si="9">I4*$I$17</f>
        <v>0</v>
      </c>
      <c r="J22" s="449">
        <f t="shared" ref="J22:J32" si="10">J4*$J$17</f>
        <v>1.6949845875949103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1595.5677965177294</v>
      </c>
    </row>
    <row r="23" spans="1:17">
      <c r="A23" s="448" t="s">
        <v>155</v>
      </c>
      <c r="B23" s="449">
        <f t="shared" ca="1" si="2"/>
        <v>124.02102965846238</v>
      </c>
      <c r="C23" s="449">
        <f t="shared" ca="1" si="3"/>
        <v>0</v>
      </c>
      <c r="D23" s="449">
        <f t="shared" ca="1" si="4"/>
        <v>186.76471800825257</v>
      </c>
      <c r="E23" s="449">
        <f t="shared" si="5"/>
        <v>0.7980215053102846</v>
      </c>
      <c r="F23" s="449">
        <f t="shared" ca="1" si="6"/>
        <v>44.014652019412473</v>
      </c>
      <c r="G23" s="449">
        <f t="shared" si="7"/>
        <v>0</v>
      </c>
      <c r="H23" s="449">
        <f t="shared" si="8"/>
        <v>0</v>
      </c>
      <c r="I23" s="449">
        <f t="shared" si="9"/>
        <v>0</v>
      </c>
      <c r="J23" s="449">
        <f t="shared" si="10"/>
        <v>7.6251763523629834E-4</v>
      </c>
      <c r="K23" s="449">
        <f t="shared" si="11"/>
        <v>0</v>
      </c>
      <c r="L23" s="449">
        <f t="shared" ca="1" si="12"/>
        <v>0</v>
      </c>
      <c r="M23" s="449">
        <f t="shared" si="13"/>
        <v>0</v>
      </c>
      <c r="N23" s="449">
        <f t="shared" ca="1" si="14"/>
        <v>0</v>
      </c>
      <c r="O23" s="449">
        <f t="shared" si="15"/>
        <v>0</v>
      </c>
      <c r="P23" s="450">
        <f t="shared" si="16"/>
        <v>0</v>
      </c>
      <c r="Q23" s="448">
        <f t="shared" ref="Q23:Q31" ca="1" si="17">SUM(B23:P23)</f>
        <v>355.59918370907292</v>
      </c>
    </row>
    <row r="24" spans="1:17">
      <c r="A24" s="448" t="s">
        <v>193</v>
      </c>
      <c r="B24" s="449">
        <f t="shared" ca="1" si="2"/>
        <v>12.908309588899407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12.908309588899407</v>
      </c>
    </row>
    <row r="25" spans="1:17">
      <c r="A25" s="448" t="s">
        <v>111</v>
      </c>
      <c r="B25" s="449">
        <f t="shared" ca="1" si="2"/>
        <v>50.372798534299911</v>
      </c>
      <c r="C25" s="449">
        <f t="shared" ca="1" si="3"/>
        <v>0</v>
      </c>
      <c r="D25" s="449">
        <f t="shared" si="4"/>
        <v>4.5023229203942456</v>
      </c>
      <c r="E25" s="449">
        <f t="shared" si="5"/>
        <v>2.1161204537132883</v>
      </c>
      <c r="F25" s="449">
        <f t="shared" si="6"/>
        <v>216.53612352541666</v>
      </c>
      <c r="G25" s="449">
        <f t="shared" si="7"/>
        <v>0</v>
      </c>
      <c r="H25" s="449">
        <f t="shared" si="8"/>
        <v>0</v>
      </c>
      <c r="I25" s="449">
        <f t="shared" si="9"/>
        <v>0</v>
      </c>
      <c r="J25" s="449">
        <f t="shared" si="10"/>
        <v>23.228825935979376</v>
      </c>
      <c r="K25" s="449">
        <f t="shared" si="11"/>
        <v>0</v>
      </c>
      <c r="L25" s="449">
        <f t="shared" si="12"/>
        <v>0</v>
      </c>
      <c r="M25" s="449">
        <f t="shared" si="13"/>
        <v>0</v>
      </c>
      <c r="N25" s="449">
        <f t="shared" si="14"/>
        <v>0</v>
      </c>
      <c r="O25" s="449">
        <f t="shared" si="15"/>
        <v>0</v>
      </c>
      <c r="P25" s="450">
        <f t="shared" si="16"/>
        <v>0</v>
      </c>
      <c r="Q25" s="448">
        <f t="shared" ca="1" si="17"/>
        <v>296.7561913698035</v>
      </c>
    </row>
    <row r="26" spans="1:17">
      <c r="A26" s="448" t="s">
        <v>618</v>
      </c>
      <c r="B26" s="449">
        <f t="shared" ca="1" si="2"/>
        <v>5.3592065209874367</v>
      </c>
      <c r="C26" s="449">
        <f t="shared" ca="1" si="3"/>
        <v>0</v>
      </c>
      <c r="D26" s="449">
        <f t="shared" si="4"/>
        <v>13.574076235978199</v>
      </c>
      <c r="E26" s="449">
        <f t="shared" si="5"/>
        <v>1.9029858759609823E-2</v>
      </c>
      <c r="F26" s="449">
        <f t="shared" si="6"/>
        <v>4.3467602315042386</v>
      </c>
      <c r="G26" s="449">
        <f t="shared" si="7"/>
        <v>0</v>
      </c>
      <c r="H26" s="449">
        <f t="shared" si="8"/>
        <v>0</v>
      </c>
      <c r="I26" s="449">
        <f t="shared" si="9"/>
        <v>0</v>
      </c>
      <c r="J26" s="449">
        <f t="shared" si="10"/>
        <v>0</v>
      </c>
      <c r="K26" s="449">
        <f t="shared" si="11"/>
        <v>0</v>
      </c>
      <c r="L26" s="449">
        <f t="shared" si="12"/>
        <v>0</v>
      </c>
      <c r="M26" s="449">
        <f t="shared" si="13"/>
        <v>0</v>
      </c>
      <c r="N26" s="449">
        <f t="shared" si="14"/>
        <v>0</v>
      </c>
      <c r="O26" s="449">
        <f t="shared" si="15"/>
        <v>0</v>
      </c>
      <c r="P26" s="450">
        <f t="shared" si="16"/>
        <v>0</v>
      </c>
      <c r="Q26" s="448">
        <f t="shared" ca="1" si="17"/>
        <v>23.299072847229482</v>
      </c>
    </row>
    <row r="27" spans="1:17" s="454" customFormat="1">
      <c r="A27" s="452" t="s">
        <v>544</v>
      </c>
      <c r="B27" s="771">
        <f t="shared" ca="1" si="2"/>
        <v>1.0021101654004136</v>
      </c>
      <c r="C27" s="453">
        <f t="shared" ca="1" si="3"/>
        <v>0</v>
      </c>
      <c r="D27" s="453">
        <f t="shared" si="4"/>
        <v>1.740820734809434</v>
      </c>
      <c r="E27" s="453">
        <f t="shared" si="5"/>
        <v>1.0878130915738957</v>
      </c>
      <c r="F27" s="453">
        <f t="shared" si="6"/>
        <v>0</v>
      </c>
      <c r="G27" s="453">
        <f t="shared" si="7"/>
        <v>532.90372021845201</v>
      </c>
      <c r="H27" s="453">
        <f t="shared" si="8"/>
        <v>130.7408522703048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667.47531648054053</v>
      </c>
    </row>
    <row r="28" spans="1:17" ht="16.5" customHeight="1">
      <c r="A28" s="448" t="s">
        <v>534</v>
      </c>
      <c r="B28" s="449">
        <f t="shared" ca="1" si="2"/>
        <v>0.10688661267472076</v>
      </c>
      <c r="C28" s="449">
        <f t="shared" ca="1" si="3"/>
        <v>0</v>
      </c>
      <c r="D28" s="449">
        <f t="shared" si="4"/>
        <v>0</v>
      </c>
      <c r="E28" s="449">
        <f t="shared" si="5"/>
        <v>0</v>
      </c>
      <c r="F28" s="449">
        <f t="shared" si="6"/>
        <v>0</v>
      </c>
      <c r="G28" s="449">
        <f t="shared" si="7"/>
        <v>10.108590257477257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10.215476870151978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4.2968628615973303</v>
      </c>
      <c r="C32" s="449">
        <f t="shared" ca="1" si="3"/>
        <v>0</v>
      </c>
      <c r="D32" s="449">
        <f t="shared" si="4"/>
        <v>5.2543937800097558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9.5512566416070861</v>
      </c>
    </row>
    <row r="33" spans="1:17" s="460" customFormat="1">
      <c r="A33" s="458" t="s">
        <v>538</v>
      </c>
      <c r="B33" s="459">
        <f ca="1">SUM(B22:B32)</f>
        <v>536.8291830365639</v>
      </c>
      <c r="C33" s="459">
        <f t="shared" ref="C33:Q33" ca="1" si="19">SUM(C22:C32)</f>
        <v>0</v>
      </c>
      <c r="D33" s="459">
        <f t="shared" ca="1" si="19"/>
        <v>1201.8428336707634</v>
      </c>
      <c r="E33" s="459">
        <f t="shared" si="19"/>
        <v>13.585900757197319</v>
      </c>
      <c r="F33" s="459">
        <f t="shared" ca="1" si="19"/>
        <v>520.43695077306597</v>
      </c>
      <c r="G33" s="459">
        <f t="shared" si="19"/>
        <v>543.01231047592921</v>
      </c>
      <c r="H33" s="459">
        <f t="shared" si="19"/>
        <v>130.7408522703048</v>
      </c>
      <c r="I33" s="459">
        <f t="shared" si="19"/>
        <v>0</v>
      </c>
      <c r="J33" s="459">
        <f t="shared" si="19"/>
        <v>24.924573041209523</v>
      </c>
      <c r="K33" s="459">
        <f t="shared" si="19"/>
        <v>0</v>
      </c>
      <c r="L33" s="459">
        <f t="shared" ca="1" si="19"/>
        <v>0</v>
      </c>
      <c r="M33" s="459">
        <f t="shared" si="19"/>
        <v>0</v>
      </c>
      <c r="N33" s="459">
        <f t="shared" ca="1" si="19"/>
        <v>0</v>
      </c>
      <c r="O33" s="459">
        <f t="shared" si="19"/>
        <v>0</v>
      </c>
      <c r="P33" s="459">
        <f t="shared" si="19"/>
        <v>0</v>
      </c>
      <c r="Q33" s="459">
        <f t="shared" ca="1" si="19"/>
        <v>2971.3726040250344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234.86168134906015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234.86168134906015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0.20151601081708828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0.20151601081708828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0.20151601081708828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0.20151601081708828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289.7</v>
      </c>
      <c r="C14" s="326"/>
      <c r="D14" s="326"/>
      <c r="E14" s="326"/>
      <c r="F14" s="326"/>
    </row>
    <row r="15" spans="1:6">
      <c r="A15" s="1307" t="s">
        <v>183</v>
      </c>
      <c r="B15" s="1308">
        <v>3</v>
      </c>
      <c r="C15" s="326"/>
      <c r="D15" s="326"/>
      <c r="E15" s="326"/>
      <c r="F15" s="326"/>
    </row>
    <row r="16" spans="1:6">
      <c r="A16" s="1307" t="s">
        <v>6</v>
      </c>
      <c r="B16" s="1308">
        <v>115</v>
      </c>
      <c r="C16" s="326"/>
      <c r="D16" s="326"/>
      <c r="E16" s="326"/>
      <c r="F16" s="326"/>
    </row>
    <row r="17" spans="1:6">
      <c r="A17" s="1307" t="s">
        <v>7</v>
      </c>
      <c r="B17" s="1308">
        <v>30</v>
      </c>
      <c r="C17" s="326"/>
      <c r="D17" s="326"/>
      <c r="E17" s="326"/>
      <c r="F17" s="326"/>
    </row>
    <row r="18" spans="1:6">
      <c r="A18" s="1307" t="s">
        <v>8</v>
      </c>
      <c r="B18" s="1308">
        <v>72</v>
      </c>
      <c r="C18" s="326"/>
      <c r="D18" s="326"/>
      <c r="E18" s="326"/>
      <c r="F18" s="326"/>
    </row>
    <row r="19" spans="1:6">
      <c r="A19" s="1307" t="s">
        <v>9</v>
      </c>
      <c r="B19" s="1308">
        <v>75</v>
      </c>
      <c r="C19" s="326"/>
      <c r="D19" s="326"/>
      <c r="E19" s="326"/>
      <c r="F19" s="326"/>
    </row>
    <row r="20" spans="1:6">
      <c r="A20" s="1307" t="s">
        <v>10</v>
      </c>
      <c r="B20" s="1308">
        <v>36</v>
      </c>
      <c r="C20" s="326"/>
      <c r="D20" s="326"/>
      <c r="E20" s="326"/>
      <c r="F20" s="326"/>
    </row>
    <row r="21" spans="1:6">
      <c r="A21" s="1307" t="s">
        <v>11</v>
      </c>
      <c r="B21" s="1308">
        <v>1366</v>
      </c>
      <c r="C21" s="326"/>
      <c r="D21" s="326"/>
      <c r="E21" s="326"/>
      <c r="F21" s="326"/>
    </row>
    <row r="22" spans="1:6">
      <c r="A22" s="1307" t="s">
        <v>12</v>
      </c>
      <c r="B22" s="1308">
        <v>4535</v>
      </c>
      <c r="C22" s="326"/>
      <c r="D22" s="326"/>
      <c r="E22" s="326"/>
      <c r="F22" s="326"/>
    </row>
    <row r="23" spans="1:6">
      <c r="A23" s="1307" t="s">
        <v>13</v>
      </c>
      <c r="B23" s="1308">
        <v>34</v>
      </c>
      <c r="C23" s="326"/>
      <c r="D23" s="326"/>
      <c r="E23" s="326"/>
      <c r="F23" s="326"/>
    </row>
    <row r="24" spans="1:6">
      <c r="A24" s="1307" t="s">
        <v>14</v>
      </c>
      <c r="B24" s="1308">
        <v>1</v>
      </c>
      <c r="C24" s="326"/>
      <c r="D24" s="326"/>
      <c r="E24" s="326"/>
      <c r="F24" s="326"/>
    </row>
    <row r="25" spans="1:6">
      <c r="A25" s="1307" t="s">
        <v>15</v>
      </c>
      <c r="B25" s="1308">
        <v>335</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397</v>
      </c>
      <c r="D39" s="1308">
        <v>5427488.6900174301</v>
      </c>
      <c r="E39" s="1308">
        <v>465</v>
      </c>
      <c r="F39" s="1308">
        <v>1511056.4462486601</v>
      </c>
    </row>
    <row r="40" spans="1:6">
      <c r="A40" s="1307" t="s">
        <v>29</v>
      </c>
      <c r="B40" s="1307" t="s">
        <v>28</v>
      </c>
      <c r="C40" s="1308">
        <v>0</v>
      </c>
      <c r="D40" s="1308">
        <v>0</v>
      </c>
      <c r="E40" s="1308">
        <v>0</v>
      </c>
      <c r="F40" s="1308">
        <v>0</v>
      </c>
    </row>
    <row r="41" spans="1:6">
      <c r="A41" s="1307" t="s">
        <v>31</v>
      </c>
      <c r="B41" s="1307" t="s">
        <v>32</v>
      </c>
      <c r="C41" s="1308">
        <v>4</v>
      </c>
      <c r="D41" s="1308">
        <v>74416.829687500402</v>
      </c>
      <c r="E41" s="1308">
        <v>8</v>
      </c>
      <c r="F41" s="1308">
        <v>26594.4452714076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0</v>
      </c>
      <c r="F44" s="1308">
        <v>0</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5</v>
      </c>
      <c r="F51" s="1308">
        <v>249969.21252089599</v>
      </c>
    </row>
    <row r="52" spans="1:6">
      <c r="A52" s="1307" t="s">
        <v>41</v>
      </c>
      <c r="B52" s="1307" t="s">
        <v>28</v>
      </c>
      <c r="C52" s="1308">
        <v>1</v>
      </c>
      <c r="D52" s="1308">
        <v>24682.976000757899</v>
      </c>
      <c r="E52" s="1308">
        <v>0</v>
      </c>
      <c r="F52" s="1308">
        <v>0</v>
      </c>
    </row>
    <row r="53" spans="1:6">
      <c r="A53" s="1307" t="s">
        <v>43</v>
      </c>
      <c r="B53" s="1307" t="s">
        <v>44</v>
      </c>
      <c r="C53" s="1308">
        <v>6</v>
      </c>
      <c r="D53" s="1308">
        <v>26011.850396087899</v>
      </c>
      <c r="E53" s="1308">
        <v>15</v>
      </c>
      <c r="F53" s="1308">
        <v>21322.6871858708</v>
      </c>
    </row>
    <row r="54" spans="1:6">
      <c r="A54" s="1307" t="s">
        <v>45</v>
      </c>
      <c r="B54" s="1307" t="s">
        <v>46</v>
      </c>
      <c r="C54" s="1308">
        <v>0</v>
      </c>
      <c r="D54" s="1308">
        <v>0</v>
      </c>
      <c r="E54" s="1308">
        <v>1</v>
      </c>
      <c r="F54" s="1308">
        <v>64056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v>
      </c>
      <c r="D57" s="1308">
        <v>96007.370425482601</v>
      </c>
      <c r="E57" s="1308">
        <v>15</v>
      </c>
      <c r="F57" s="1308">
        <v>212170.57604669401</v>
      </c>
    </row>
    <row r="58" spans="1:6">
      <c r="A58" s="1307" t="s">
        <v>48</v>
      </c>
      <c r="B58" s="1307" t="s">
        <v>50</v>
      </c>
      <c r="C58" s="1308">
        <v>0</v>
      </c>
      <c r="D58" s="1308">
        <v>0</v>
      </c>
      <c r="E58" s="1308">
        <v>0</v>
      </c>
      <c r="F58" s="1308">
        <v>0</v>
      </c>
    </row>
    <row r="59" spans="1:6">
      <c r="A59" s="1307" t="s">
        <v>48</v>
      </c>
      <c r="B59" s="1307" t="s">
        <v>51</v>
      </c>
      <c r="C59" s="1308">
        <v>0</v>
      </c>
      <c r="D59" s="1308">
        <v>0</v>
      </c>
      <c r="E59" s="1308">
        <v>7</v>
      </c>
      <c r="F59" s="1308">
        <v>96541.013289511393</v>
      </c>
    </row>
    <row r="60" spans="1:6">
      <c r="A60" s="1307" t="s">
        <v>48</v>
      </c>
      <c r="B60" s="1307" t="s">
        <v>52</v>
      </c>
      <c r="C60" s="1308">
        <v>4</v>
      </c>
      <c r="D60" s="1308">
        <v>453196.14656985702</v>
      </c>
      <c r="E60" s="1308">
        <v>5</v>
      </c>
      <c r="F60" s="1308">
        <v>185028.39354856699</v>
      </c>
    </row>
    <row r="61" spans="1:6">
      <c r="A61" s="1307" t="s">
        <v>48</v>
      </c>
      <c r="B61" s="1307" t="s">
        <v>53</v>
      </c>
      <c r="C61" s="1308">
        <v>7</v>
      </c>
      <c r="D61" s="1308">
        <v>264391.39307996997</v>
      </c>
      <c r="E61" s="1308">
        <v>13</v>
      </c>
      <c r="F61" s="1308">
        <v>92684.474142445397</v>
      </c>
    </row>
    <row r="62" spans="1:6">
      <c r="A62" s="1307" t="s">
        <v>48</v>
      </c>
      <c r="B62" s="1307" t="s">
        <v>54</v>
      </c>
      <c r="C62" s="1308">
        <v>0</v>
      </c>
      <c r="D62" s="1308">
        <v>0</v>
      </c>
      <c r="E62" s="1308">
        <v>0</v>
      </c>
      <c r="F62" s="1308">
        <v>0</v>
      </c>
    </row>
    <row r="63" spans="1:6">
      <c r="A63" s="1307" t="s">
        <v>48</v>
      </c>
      <c r="B63" s="1307" t="s">
        <v>28</v>
      </c>
      <c r="C63" s="1308">
        <v>5</v>
      </c>
      <c r="D63" s="1308">
        <v>210300.784190518</v>
      </c>
      <c r="E63" s="1308">
        <v>3</v>
      </c>
      <c r="F63" s="1308">
        <v>29015.622178367401</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4.1697616234000003</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3577049</v>
      </c>
      <c r="E73" s="447"/>
      <c r="F73" s="326"/>
    </row>
    <row r="74" spans="1:6">
      <c r="A74" s="1307" t="s">
        <v>63</v>
      </c>
      <c r="B74" s="1307" t="s">
        <v>639</v>
      </c>
      <c r="C74" s="1321" t="s">
        <v>641</v>
      </c>
      <c r="D74" s="1322">
        <v>208855.35490790234</v>
      </c>
      <c r="E74" s="447"/>
      <c r="F74" s="326"/>
    </row>
    <row r="75" spans="1:6">
      <c r="A75" s="1307" t="s">
        <v>64</v>
      </c>
      <c r="B75" s="1307" t="s">
        <v>638</v>
      </c>
      <c r="C75" s="1321" t="s">
        <v>642</v>
      </c>
      <c r="D75" s="1322">
        <v>0</v>
      </c>
      <c r="E75" s="447"/>
      <c r="F75" s="326"/>
    </row>
    <row r="76" spans="1:6">
      <c r="A76" s="1307" t="s">
        <v>64</v>
      </c>
      <c r="B76" s="1307" t="s">
        <v>639</v>
      </c>
      <c r="C76" s="1321" t="s">
        <v>643</v>
      </c>
      <c r="D76" s="1322">
        <v>0</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11211.290184195301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170.01086805883295</v>
      </c>
      <c r="C91" s="326"/>
      <c r="D91" s="326"/>
      <c r="E91" s="326"/>
      <c r="F91" s="326"/>
    </row>
    <row r="92" spans="1:6">
      <c r="A92" s="1302" t="s">
        <v>68</v>
      </c>
      <c r="B92" s="1303">
        <v>64.850813290227194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271</v>
      </c>
      <c r="C97" s="326"/>
      <c r="D97" s="326"/>
      <c r="E97" s="326"/>
      <c r="F97" s="326"/>
    </row>
    <row r="98" spans="1:6">
      <c r="A98" s="1307" t="s">
        <v>71</v>
      </c>
      <c r="B98" s="1308">
        <v>0</v>
      </c>
      <c r="C98" s="326"/>
      <c r="D98" s="326"/>
      <c r="E98" s="326"/>
      <c r="F98" s="326"/>
    </row>
    <row r="99" spans="1:6">
      <c r="A99" s="1307" t="s">
        <v>72</v>
      </c>
      <c r="B99" s="1308">
        <v>5</v>
      </c>
      <c r="C99" s="326"/>
      <c r="D99" s="326"/>
      <c r="E99" s="326"/>
      <c r="F99" s="326"/>
    </row>
    <row r="100" spans="1:6">
      <c r="A100" s="1307" t="s">
        <v>73</v>
      </c>
      <c r="B100" s="1308">
        <v>16</v>
      </c>
      <c r="C100" s="326"/>
      <c r="D100" s="326"/>
      <c r="E100" s="326"/>
      <c r="F100" s="326"/>
    </row>
    <row r="101" spans="1:6">
      <c r="A101" s="1307" t="s">
        <v>74</v>
      </c>
      <c r="B101" s="1308">
        <v>4</v>
      </c>
      <c r="C101" s="326"/>
      <c r="D101" s="326"/>
      <c r="E101" s="326"/>
      <c r="F101" s="326"/>
    </row>
    <row r="102" spans="1:6">
      <c r="A102" s="1307" t="s">
        <v>75</v>
      </c>
      <c r="B102" s="1308">
        <v>7</v>
      </c>
      <c r="C102" s="326"/>
      <c r="D102" s="326"/>
      <c r="E102" s="326"/>
      <c r="F102" s="326"/>
    </row>
    <row r="103" spans="1:6">
      <c r="A103" s="1307" t="s">
        <v>76</v>
      </c>
      <c r="B103" s="1308">
        <v>22</v>
      </c>
      <c r="C103" s="326"/>
      <c r="D103" s="326"/>
      <c r="E103" s="326"/>
      <c r="F103" s="326"/>
    </row>
    <row r="104" spans="1:6">
      <c r="A104" s="1307" t="s">
        <v>77</v>
      </c>
      <c r="B104" s="1308">
        <v>47</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0</v>
      </c>
      <c r="C123" s="1308">
        <v>3</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2663.9530073063629</v>
      </c>
      <c r="C3" s="43" t="s">
        <v>169</v>
      </c>
      <c r="D3" s="43"/>
      <c r="E3" s="154"/>
      <c r="F3" s="43"/>
      <c r="G3" s="43"/>
      <c r="H3" s="43"/>
      <c r="I3" s="43"/>
      <c r="J3" s="43"/>
      <c r="K3" s="96"/>
    </row>
    <row r="4" spans="1:11">
      <c r="A4" s="354" t="s">
        <v>170</v>
      </c>
      <c r="B4" s="49">
        <f>IF(ISERROR('SEAP template'!B78+'SEAP template'!C78),0,'SEAP template'!B78+'SEAP template'!C78)</f>
        <v>234.86168134906015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0.20151601081708828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64.055999999999997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64.055999999999997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0.20151601081708828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12.908309588899407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1511.05644624866</v>
      </c>
      <c r="C5" s="17">
        <f>IF(ISERROR('Eigen informatie GS &amp; warmtenet'!B59),0,'Eigen informatie GS &amp; warmtenet'!B59)</f>
        <v>0</v>
      </c>
      <c r="D5" s="30">
        <f>(SUM(HH_hh_gas_kWh,HH_rest_gas_kWh)/1000)*0.903</f>
        <v>4901.0222870857388</v>
      </c>
      <c r="E5" s="17">
        <f>B32*B41</f>
        <v>42.136193162291811</v>
      </c>
      <c r="F5" s="17">
        <f>B36*B45</f>
        <v>957.07646066191944</v>
      </c>
      <c r="G5" s="18"/>
      <c r="H5" s="17"/>
      <c r="I5" s="17"/>
      <c r="J5" s="17">
        <f>B35*B44+C35*C44</f>
        <v>4.7880920553528545</v>
      </c>
      <c r="K5" s="17"/>
      <c r="L5" s="17"/>
      <c r="M5" s="17"/>
      <c r="N5" s="17">
        <f>B34*B43+C34*C43</f>
        <v>558.43814746901842</v>
      </c>
      <c r="O5" s="17">
        <f>B52*B53*B54</f>
        <v>9.9197910969351586</v>
      </c>
      <c r="P5" s="17">
        <f>B60*B61*B62/1000-B60*B61*B62/1000/B63</f>
        <v>10.533959307685024</v>
      </c>
    </row>
    <row r="6" spans="1:16">
      <c r="A6" s="16" t="s">
        <v>604</v>
      </c>
      <c r="B6" s="779">
        <f>kWh_PV_kleiner_dan_10kW</f>
        <v>170.01086805883295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1681.067314307493</v>
      </c>
      <c r="C8" s="21">
        <f>C5</f>
        <v>0</v>
      </c>
      <c r="D8" s="21">
        <f>D5</f>
        <v>4901.0222870857388</v>
      </c>
      <c r="E8" s="21">
        <f>E5</f>
        <v>42.136193162291811</v>
      </c>
      <c r="F8" s="21">
        <f>F5</f>
        <v>957.07646066191944</v>
      </c>
      <c r="G8" s="21"/>
      <c r="H8" s="21"/>
      <c r="I8" s="21"/>
      <c r="J8" s="21">
        <f>J5</f>
        <v>4.7880920553528545</v>
      </c>
      <c r="K8" s="21"/>
      <c r="L8" s="21">
        <f>L5</f>
        <v>0</v>
      </c>
      <c r="M8" s="21">
        <f>M5</f>
        <v>0</v>
      </c>
      <c r="N8" s="21">
        <f>N5</f>
        <v>558.43814746901842</v>
      </c>
      <c r="O8" s="21">
        <f>O5</f>
        <v>9.9197910969351586</v>
      </c>
      <c r="P8" s="21">
        <f>P5</f>
        <v>10.533959307685024</v>
      </c>
    </row>
    <row r="9" spans="1:16">
      <c r="B9" s="19"/>
      <c r="C9" s="19"/>
      <c r="D9" s="254"/>
      <c r="E9" s="19"/>
      <c r="F9" s="19"/>
      <c r="G9" s="19"/>
      <c r="H9" s="19"/>
      <c r="I9" s="19"/>
      <c r="J9" s="19"/>
      <c r="K9" s="19"/>
      <c r="L9" s="19"/>
      <c r="M9" s="19"/>
      <c r="N9" s="19"/>
      <c r="O9" s="19"/>
      <c r="P9" s="19"/>
    </row>
    <row r="10" spans="1:16">
      <c r="A10" s="24" t="s">
        <v>213</v>
      </c>
      <c r="B10" s="25">
        <f ca="1">'EF ele_warmte'!B12</f>
        <v>0.20151601081708828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338.76197909424229</v>
      </c>
      <c r="C12" s="23">
        <f ca="1">C10*C8</f>
        <v>0</v>
      </c>
      <c r="D12" s="23">
        <f>D8*D10</f>
        <v>990.00650199131928</v>
      </c>
      <c r="E12" s="23">
        <f>E10*E8</f>
        <v>9.5649158478402416</v>
      </c>
      <c r="F12" s="23">
        <f>F10*F8</f>
        <v>255.53941499673252</v>
      </c>
      <c r="G12" s="23"/>
      <c r="H12" s="23"/>
      <c r="I12" s="23"/>
      <c r="J12" s="23">
        <f>J10*J8</f>
        <v>1.6949845875949103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446</v>
      </c>
      <c r="C26" s="36"/>
      <c r="D26" s="225"/>
    </row>
    <row r="27" spans="1:5" s="15" customFormat="1">
      <c r="A27" s="227" t="s">
        <v>817</v>
      </c>
      <c r="B27" s="37">
        <f>SUM(HH_hh_gas_aantal,HH_rest_gas_aantal)</f>
        <v>397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377.15</v>
      </c>
      <c r="C31" s="34" t="s">
        <v>110</v>
      </c>
      <c r="D31" s="171"/>
    </row>
    <row r="32" spans="1:5">
      <c r="A32" s="168" t="s">
        <v>72</v>
      </c>
      <c r="B32" s="33">
        <f>IF((B21*($B$26-($B$27-0.05*$B$27)-$B$60))&lt;0,0,B21*($B$26-($B$27-0.05*$B$27)-$B$60))</f>
        <v>1.044303709266905</v>
      </c>
      <c r="C32" s="34" t="s">
        <v>110</v>
      </c>
      <c r="D32" s="171"/>
    </row>
    <row r="33" spans="1:6">
      <c r="A33" s="168" t="s">
        <v>73</v>
      </c>
      <c r="B33" s="33">
        <f>IF((B22*($B$26-($B$27-0.05*$B$27)-$B$60))&lt;0,0,B22*($B$26-($B$27-0.05*$B$27)-$B$60))</f>
        <v>16.957423972297274</v>
      </c>
      <c r="C33" s="34" t="s">
        <v>110</v>
      </c>
      <c r="D33" s="171"/>
    </row>
    <row r="34" spans="1:6">
      <c r="A34" s="168" t="s">
        <v>74</v>
      </c>
      <c r="B34" s="33">
        <f>IF((B24*($B$26-($B$27-0.05*$B$27)-$B$60))&lt;0,0,B24*($B$26-($B$27-0.05*$B$27)-$B$60))</f>
        <v>3.2481634733652456</v>
      </c>
      <c r="C34" s="33">
        <f>B26*C24</f>
        <v>91.329159458748208</v>
      </c>
      <c r="D34" s="230"/>
    </row>
    <row r="35" spans="1:6">
      <c r="A35" s="168" t="s">
        <v>76</v>
      </c>
      <c r="B35" s="33">
        <f>IF((B19*($B$26-($B$27-0.05*$B$27)-$B$60))&lt;0,0,B19*($B$26-($B$27-0.05*$B$27)-$B$60))</f>
        <v>0.45395633273013447</v>
      </c>
      <c r="C35" s="33">
        <f>B35/2</f>
        <v>0.22697816636506724</v>
      </c>
      <c r="D35" s="230"/>
    </row>
    <row r="36" spans="1:6">
      <c r="A36" s="168" t="s">
        <v>77</v>
      </c>
      <c r="B36" s="33">
        <f>IF((B18*($B$26-($B$27-0.05*$B$27)-$B$60))&lt;0,0,B18*($B$26-($B$27-0.05*$B$27)-$B$60))</f>
        <v>46.146152512340443</v>
      </c>
      <c r="C36" s="34" t="s">
        <v>110</v>
      </c>
      <c r="D36" s="171"/>
    </row>
    <row r="37" spans="1:6">
      <c r="A37" s="168" t="s">
        <v>78</v>
      </c>
      <c r="B37" s="33">
        <f>B60</f>
        <v>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615.44007920558522</v>
      </c>
      <c r="C5" s="17">
        <f>IF(ISERROR('Eigen informatie GS &amp; warmtenet'!B60),0,'Eigen informatie GS &amp; warmtenet'!B60)</f>
        <v>0</v>
      </c>
      <c r="D5" s="30">
        <f>SUM(D6:D12)</f>
        <v>924.57781192204243</v>
      </c>
      <c r="E5" s="17">
        <f>SUM(E6:E12)</f>
        <v>3.5155132392523551</v>
      </c>
      <c r="F5" s="17">
        <f>SUM(F6:F12)</f>
        <v>164.84888396783697</v>
      </c>
      <c r="G5" s="18"/>
      <c r="H5" s="17"/>
      <c r="I5" s="17"/>
      <c r="J5" s="17">
        <f>SUM(J6:J12)</f>
        <v>2.1540046193115774E-3</v>
      </c>
      <c r="K5" s="17"/>
      <c r="L5" s="17"/>
      <c r="M5" s="17"/>
      <c r="N5" s="17">
        <f>SUM(N6:N12)</f>
        <v>78.011952041227744</v>
      </c>
      <c r="O5" s="17">
        <f>B38*B39*B40</f>
        <v>0</v>
      </c>
      <c r="P5" s="17">
        <f>B46*B47*B48/1000-B46*B47*B48/1000/B49</f>
        <v>0</v>
      </c>
      <c r="R5" s="32"/>
    </row>
    <row r="6" spans="1:18">
      <c r="A6" s="32" t="s">
        <v>53</v>
      </c>
      <c r="B6" s="37">
        <f>B26</f>
        <v>92.684474142445396</v>
      </c>
      <c r="C6" s="33"/>
      <c r="D6" s="37">
        <f>IF(ISERROR(TER_kantoor_gas_kWh/1000),0,TER_kantoor_gas_kWh/1000)*0.903</f>
        <v>238.74542795121292</v>
      </c>
      <c r="E6" s="33">
        <f>$C$26*'E Balans VL '!I12/100/3.6*1000000</f>
        <v>2.2204996929888962E-2</v>
      </c>
      <c r="F6" s="33">
        <f>$C$26*('E Balans VL '!L12+'E Balans VL '!N12)/100/3.6*1000000</f>
        <v>8.7891598221050824</v>
      </c>
      <c r="G6" s="34"/>
      <c r="H6" s="33"/>
      <c r="I6" s="33"/>
      <c r="J6" s="33">
        <f>$C$26*('E Balans VL '!D12+'E Balans VL '!E12)/100/3.6*1000000</f>
        <v>0</v>
      </c>
      <c r="K6" s="33"/>
      <c r="L6" s="33"/>
      <c r="M6" s="33"/>
      <c r="N6" s="33">
        <f>$C$26*'E Balans VL '!Y12/100/3.6*1000000</f>
        <v>4.7078918880813982E-2</v>
      </c>
      <c r="O6" s="33"/>
      <c r="P6" s="33"/>
      <c r="R6" s="32"/>
    </row>
    <row r="7" spans="1:18">
      <c r="A7" s="32" t="s">
        <v>52</v>
      </c>
      <c r="B7" s="37">
        <f t="shared" ref="B7:B12" si="0">B27</f>
        <v>185.02839354856698</v>
      </c>
      <c r="C7" s="33"/>
      <c r="D7" s="37">
        <f>IF(ISERROR(TER_horeca_gas_kWh/1000),0,TER_horeca_gas_kWh/1000)*0.903</f>
        <v>409.23612035258094</v>
      </c>
      <c r="E7" s="33">
        <f>$C$27*'E Balans VL '!I9/100/3.6*1000000</f>
        <v>0</v>
      </c>
      <c r="F7" s="33">
        <f>$C$27*('E Balans VL '!L9+'E Balans VL '!N9)/100/3.6*1000000</f>
        <v>15.171893326717884</v>
      </c>
      <c r="G7" s="34"/>
      <c r="H7" s="33"/>
      <c r="I7" s="33"/>
      <c r="J7" s="33">
        <f>$C$27*('E Balans VL '!D9+'E Balans VL '!E9)/100/3.6*1000000</f>
        <v>0</v>
      </c>
      <c r="K7" s="33"/>
      <c r="L7" s="33"/>
      <c r="M7" s="33"/>
      <c r="N7" s="33">
        <f>$C$27*'E Balans VL '!Y9/100/3.6*1000000</f>
        <v>5.6718636518333622E-2</v>
      </c>
      <c r="O7" s="33"/>
      <c r="P7" s="33"/>
      <c r="R7" s="32"/>
    </row>
    <row r="8" spans="1:18">
      <c r="A8" s="6" t="s">
        <v>51</v>
      </c>
      <c r="B8" s="37">
        <f t="shared" si="0"/>
        <v>96.541013289511397</v>
      </c>
      <c r="C8" s="33"/>
      <c r="D8" s="37">
        <f>IF(ISERROR(TER_handel_gas_kWh/1000),0,TER_handel_gas_kWh/1000)*0.903</f>
        <v>0</v>
      </c>
      <c r="E8" s="33">
        <f>$C$28*'E Balans VL '!I13/100/3.6*1000000</f>
        <v>0.33928889692231573</v>
      </c>
      <c r="F8" s="33">
        <f>$C$28*('E Balans VL '!L13+'E Balans VL '!N13)/100/3.6*1000000</f>
        <v>8.8333293445105561</v>
      </c>
      <c r="G8" s="34"/>
      <c r="H8" s="33"/>
      <c r="I8" s="33"/>
      <c r="J8" s="33">
        <f>$C$28*('E Balans VL '!D13+'E Balans VL '!E13)/100/3.6*1000000</f>
        <v>0</v>
      </c>
      <c r="K8" s="33"/>
      <c r="L8" s="33"/>
      <c r="M8" s="33"/>
      <c r="N8" s="33">
        <f>$C$28*'E Balans VL '!Y13/100/3.6*1000000</f>
        <v>3.4962998767292919E-2</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212.17057604669401</v>
      </c>
      <c r="C10" s="33"/>
      <c r="D10" s="37">
        <f>IF(ISERROR(TER_ander_gas_kWh/1000),0,TER_ander_gas_kWh/1000)*0.903</f>
        <v>86.694655494210792</v>
      </c>
      <c r="E10" s="33">
        <f>$C$30*'E Balans VL '!I14/100/3.6*1000000</f>
        <v>3.0387509695329347</v>
      </c>
      <c r="F10" s="33">
        <f>$C$30*('E Balans VL '!L14+'E Balans VL '!N14)/100/3.6*1000000</f>
        <v>126.31235807473314</v>
      </c>
      <c r="G10" s="34"/>
      <c r="H10" s="33"/>
      <c r="I10" s="33"/>
      <c r="J10" s="33">
        <f>$C$30*('E Balans VL '!D14+'E Balans VL '!E14)/100/3.6*1000000</f>
        <v>2.0953584410589032E-3</v>
      </c>
      <c r="K10" s="33"/>
      <c r="L10" s="33"/>
      <c r="M10" s="33"/>
      <c r="N10" s="33">
        <f>$C$30*'E Balans VL '!Y14/100/3.6*1000000</f>
        <v>75.725152163114203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29.015622178367401</v>
      </c>
      <c r="C12" s="33"/>
      <c r="D12" s="37">
        <f>IF(ISERROR(TER_rest_gas_kWh/1000),0,TER_rest_gas_kWh/1000)*0.903</f>
        <v>189.90160812403775</v>
      </c>
      <c r="E12" s="33">
        <f>$C$32*'E Balans VL '!I8/100/3.6*1000000</f>
        <v>0.11526837586721582</v>
      </c>
      <c r="F12" s="33">
        <f>$C$32*('E Balans VL '!L8+'E Balans VL '!N8)/100/3.6*1000000</f>
        <v>5.7421433997702866</v>
      </c>
      <c r="G12" s="34"/>
      <c r="H12" s="33"/>
      <c r="I12" s="33"/>
      <c r="J12" s="33">
        <f>$C$32*('E Balans VL '!D8+'E Balans VL '!E8)/100/3.6*1000000</f>
        <v>5.8646178252674029E-5</v>
      </c>
      <c r="K12" s="33"/>
      <c r="L12" s="33"/>
      <c r="M12" s="33"/>
      <c r="N12" s="33">
        <f>$C$32*'E Balans VL '!Y8/100/3.6*1000000</f>
        <v>2.1480393239470983</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615.44007920558522</v>
      </c>
      <c r="C16" s="21">
        <f t="shared" ca="1" si="1"/>
        <v>0</v>
      </c>
      <c r="D16" s="21">
        <f t="shared" ca="1" si="1"/>
        <v>924.57781192204243</v>
      </c>
      <c r="E16" s="21">
        <f t="shared" si="1"/>
        <v>3.5155132392523551</v>
      </c>
      <c r="F16" s="21">
        <f t="shared" ca="1" si="1"/>
        <v>164.84888396783697</v>
      </c>
      <c r="G16" s="21">
        <f t="shared" si="1"/>
        <v>0</v>
      </c>
      <c r="H16" s="21">
        <f t="shared" si="1"/>
        <v>0</v>
      </c>
      <c r="I16" s="21">
        <f t="shared" si="1"/>
        <v>0</v>
      </c>
      <c r="J16" s="21">
        <f t="shared" si="1"/>
        <v>2.1540046193115774E-3</v>
      </c>
      <c r="K16" s="21">
        <f t="shared" si="1"/>
        <v>0</v>
      </c>
      <c r="L16" s="21">
        <f t="shared" ca="1" si="1"/>
        <v>0</v>
      </c>
      <c r="M16" s="21">
        <f t="shared" si="1"/>
        <v>0</v>
      </c>
      <c r="N16" s="21">
        <f t="shared" ca="1" si="1"/>
        <v>78.011952041227744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0.20151601081708828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124.02102965846238</v>
      </c>
      <c r="C20" s="23">
        <f t="shared" ref="C20:P20" ca="1" si="2">C16*C18</f>
        <v>0</v>
      </c>
      <c r="D20" s="23">
        <f t="shared" ca="1" si="2"/>
        <v>186.76471800825257</v>
      </c>
      <c r="E20" s="23">
        <f t="shared" si="2"/>
        <v>0.7980215053102846</v>
      </c>
      <c r="F20" s="23">
        <f t="shared" ca="1" si="2"/>
        <v>44.014652019412473</v>
      </c>
      <c r="G20" s="23">
        <f t="shared" si="2"/>
        <v>0</v>
      </c>
      <c r="H20" s="23">
        <f t="shared" si="2"/>
        <v>0</v>
      </c>
      <c r="I20" s="23">
        <f t="shared" si="2"/>
        <v>0</v>
      </c>
      <c r="J20" s="23">
        <f t="shared" si="2"/>
        <v>7.6251763523629834E-4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92.684474142445396</v>
      </c>
      <c r="C26" s="39">
        <f>IF(ISERROR(B26*3.6/1000000/'E Balans VL '!Z12*100),0,B26*3.6/1000000/'E Balans VL '!Z12*100)</f>
        <v>2.6139476117312066E-3</v>
      </c>
      <c r="D26" s="233" t="s">
        <v>691</v>
      </c>
      <c r="F26" s="6"/>
    </row>
    <row r="27" spans="1:18">
      <c r="A27" s="228" t="s">
        <v>52</v>
      </c>
      <c r="B27" s="33">
        <f>IF(ISERROR(TER_horeca_ele_kWh/1000),0,TER_horeca_ele_kWh/1000)</f>
        <v>185.02839354856698</v>
      </c>
      <c r="C27" s="39">
        <f>IF(ISERROR(B27*3.6/1000000/'E Balans VL '!Z9*100),0,B27*3.6/1000000/'E Balans VL '!Z9*100)</f>
        <v>1.3717582367533053E-2</v>
      </c>
      <c r="D27" s="233" t="s">
        <v>691</v>
      </c>
      <c r="F27" s="6"/>
    </row>
    <row r="28" spans="1:18">
      <c r="A28" s="168" t="s">
        <v>51</v>
      </c>
      <c r="B28" s="33">
        <f>IF(ISERROR(TER_handel_ele_kWh/1000),0,TER_handel_ele_kWh/1000)</f>
        <v>96.541013289511397</v>
      </c>
      <c r="C28" s="39">
        <f>IF(ISERROR(B28*3.6/1000000/'E Balans VL '!Z13*100),0,B28*3.6/1000000/'E Balans VL '!Z13*100)</f>
        <v>2.8921392233247994E-3</v>
      </c>
      <c r="D28" s="233" t="s">
        <v>691</v>
      </c>
      <c r="F28" s="6"/>
    </row>
    <row r="29" spans="1:18">
      <c r="A29" s="228" t="s">
        <v>50</v>
      </c>
      <c r="B29" s="33">
        <f>IF(ISERROR(TER_gezond_ele_kWh/1000),0,TER_gezond_ele_kWh/1000)</f>
        <v>0</v>
      </c>
      <c r="C29" s="39">
        <f>IF(ISERROR(B29*3.6/1000000/'E Balans VL '!Z10*100),0,B29*3.6/1000000/'E Balans VL '!Z10*100)</f>
        <v>0</v>
      </c>
      <c r="D29" s="233" t="s">
        <v>691</v>
      </c>
      <c r="F29" s="6"/>
    </row>
    <row r="30" spans="1:18">
      <c r="A30" s="228" t="s">
        <v>49</v>
      </c>
      <c r="B30" s="33">
        <f>IF(ISERROR(TER_ander_ele_kWh/1000),0,TER_ander_ele_kWh/1000)</f>
        <v>212.17057604669401</v>
      </c>
      <c r="C30" s="39">
        <f>IF(ISERROR(B30*3.6/1000000/'E Balans VL '!Z14*100),0,B30*3.6/1000000/'E Balans VL '!Z14*100)</f>
        <v>8.5816727961456774E-3</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29.015622178367401</v>
      </c>
      <c r="C32" s="39">
        <f>IF(ISERROR(B32*3.6/1000000/'E Balans VL '!Z8*100),0,B32*3.6/1000000/'E Balans VL '!Z8*100)</f>
        <v>2.4018912594951818E-4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26.594445271407601</v>
      </c>
      <c r="C5" s="17">
        <f>IF(ISERROR('Eigen informatie GS &amp; warmtenet'!B61),0,'Eigen informatie GS &amp; warmtenet'!B61)</f>
        <v>0</v>
      </c>
      <c r="D5" s="30">
        <f>SUM(D6:D15)</f>
        <v>67.19839720781286</v>
      </c>
      <c r="E5" s="17">
        <f>SUM(E6:E15)</f>
        <v>8.3831976914580719E-2</v>
      </c>
      <c r="F5" s="17">
        <f>SUM(F6:F15)</f>
        <v>16.280000867057073</v>
      </c>
      <c r="G5" s="18"/>
      <c r="H5" s="17"/>
      <c r="I5" s="17"/>
      <c r="J5" s="17">
        <f>SUM(J6:J15)</f>
        <v>0</v>
      </c>
      <c r="K5" s="17"/>
      <c r="L5" s="17"/>
      <c r="M5" s="17"/>
      <c r="N5" s="17">
        <f>SUM(N6:N15)</f>
        <v>1.1151412007227639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26.594445271407601</v>
      </c>
      <c r="C9" s="33"/>
      <c r="D9" s="37">
        <f>IF( ISERROR(IND_andere_gas_kWh/1000),0,IND_andere_gas_kWh/1000)*0.903</f>
        <v>67.19839720781286</v>
      </c>
      <c r="E9" s="33">
        <f>C31*'E Balans VL '!I19/100/3.6*1000000</f>
        <v>8.3831976914580719E-2</v>
      </c>
      <c r="F9" s="33">
        <f>C31*'E Balans VL '!L19/100/3.6*1000000+C31*'E Balans VL '!N19/100/3.6*1000000</f>
        <v>16.280000867057073</v>
      </c>
      <c r="G9" s="34"/>
      <c r="H9" s="33"/>
      <c r="I9" s="33"/>
      <c r="J9" s="40">
        <f>C31*'E Balans VL '!D19/100/3.6*1000000+C31*'E Balans VL '!E19/100/3.6*1000000</f>
        <v>0</v>
      </c>
      <c r="K9" s="33"/>
      <c r="L9" s="33"/>
      <c r="M9" s="33"/>
      <c r="N9" s="33">
        <f>C31*'E Balans VL '!Y19/100/3.6*1000000</f>
        <v>1.1151412007227639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26.594445271407601</v>
      </c>
      <c r="C18" s="21">
        <f>C5+C16</f>
        <v>0</v>
      </c>
      <c r="D18" s="21">
        <f>MAX((D5+D16),0)</f>
        <v>67.19839720781286</v>
      </c>
      <c r="E18" s="21">
        <f>MAX((E5+E16),0)</f>
        <v>8.3831976914580719E-2</v>
      </c>
      <c r="F18" s="21">
        <f>MAX((F5+F16),0)</f>
        <v>16.280000867057073</v>
      </c>
      <c r="G18" s="21"/>
      <c r="H18" s="21"/>
      <c r="I18" s="21"/>
      <c r="J18" s="21">
        <f>MAX((J5+J16),0)</f>
        <v>0</v>
      </c>
      <c r="K18" s="21"/>
      <c r="L18" s="21">
        <f>MAX((L5+L16),0)</f>
        <v>0</v>
      </c>
      <c r="M18" s="21"/>
      <c r="N18" s="21">
        <f>MAX((N5+N16),0)</f>
        <v>1.1151412007227639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0.20151601081708828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5.3592065209874367</v>
      </c>
      <c r="C22" s="23">
        <f ca="1">C18*C20</f>
        <v>0</v>
      </c>
      <c r="D22" s="23">
        <f>D18*D20</f>
        <v>13.574076235978199</v>
      </c>
      <c r="E22" s="23">
        <f>E18*E20</f>
        <v>1.9029858759609823E-2</v>
      </c>
      <c r="F22" s="23">
        <f>F18*F20</f>
        <v>4.3467602315042386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0</v>
      </c>
      <c r="C30" s="39">
        <f>IF(ISERROR(B30*3.6/1000000/'E Balans VL '!Z18*100),0,B30*3.6/1000000/'E Balans VL '!Z18*100)</f>
        <v>0</v>
      </c>
      <c r="D30" s="233" t="s">
        <v>691</v>
      </c>
    </row>
    <row r="31" spans="1:18">
      <c r="A31" s="6" t="s">
        <v>32</v>
      </c>
      <c r="B31" s="37">
        <f>IF( ISERROR(IND_ander_ele_kWh/1000),0,IND_ander_ele_kWh/1000)</f>
        <v>26.594445271407601</v>
      </c>
      <c r="C31" s="39">
        <f>IF(ISERROR(B31*3.6/1000000/'E Balans VL '!Z19*100),0,B31*3.6/1000000/'E Balans VL '!Z19*100)</f>
        <v>8.9742624954020891E-4</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249.96921252089598</v>
      </c>
      <c r="C5" s="17">
        <f>'Eigen informatie GS &amp; warmtenet'!B62</f>
        <v>0</v>
      </c>
      <c r="D5" s="30">
        <f>IF(ISERROR(SUM(LB_lb_gas_kWh,LB_rest_gas_kWh)/1000),0,SUM(LB_lb_gas_kWh,LB_rest_gas_kWh)/1000)*0.903</f>
        <v>22.288727328684384</v>
      </c>
      <c r="E5" s="17">
        <f>B17*'E Balans VL '!I25/3.6*1000000/100</f>
        <v>9.3221165361818858</v>
      </c>
      <c r="F5" s="17">
        <f>B17*('E Balans VL '!L25/3.6*1000000+'E Balans VL '!N25/3.6*1000000)/100</f>
        <v>810.99671732365789</v>
      </c>
      <c r="G5" s="18"/>
      <c r="H5" s="17"/>
      <c r="I5" s="17"/>
      <c r="J5" s="17">
        <f>('E Balans VL '!D25+'E Balans VL '!E25)/3.6*1000000*landbouw!B17/100</f>
        <v>65.61815236152367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249.96921252089598</v>
      </c>
      <c r="C8" s="21">
        <f>C5+C6</f>
        <v>0</v>
      </c>
      <c r="D8" s="21">
        <f>MAX((D5+D6),0)</f>
        <v>22.288727328684384</v>
      </c>
      <c r="E8" s="21">
        <f>MAX((E5+E6),0)</f>
        <v>9.3221165361818858</v>
      </c>
      <c r="F8" s="21">
        <f>MAX((F5+F6),0)</f>
        <v>810.99671732365789</v>
      </c>
      <c r="G8" s="21"/>
      <c r="H8" s="21"/>
      <c r="I8" s="21"/>
      <c r="J8" s="21">
        <f>MAX((J5+J6),0)</f>
        <v>65.61815236152367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0.20151601081708828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50.372798534299911</v>
      </c>
      <c r="C12" s="23">
        <f ca="1">C8*C10</f>
        <v>0</v>
      </c>
      <c r="D12" s="23">
        <f>D8*D10</f>
        <v>4.5023229203942456</v>
      </c>
      <c r="E12" s="23">
        <f>E8*E10</f>
        <v>2.1161204537132883</v>
      </c>
      <c r="F12" s="23">
        <f>F8*F10</f>
        <v>216.53612352541666</v>
      </c>
      <c r="G12" s="23"/>
      <c r="H12" s="23"/>
      <c r="I12" s="23"/>
      <c r="J12" s="23">
        <f>J8*J10</f>
        <v>23.228825935979376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3.4332619040497038E-2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34.038506446369908</v>
      </c>
      <c r="C26" s="243">
        <f>B26*'GWP N2O_CH4'!B5</f>
        <v>714.80863537376808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32.84959732835145</v>
      </c>
      <c r="C27" s="243">
        <f>B27*'GWP N2O_CH4'!B5</f>
        <v>689.84154389538048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0.49558053298056198</v>
      </c>
      <c r="C28" s="243">
        <f>B28*'GWP N2O_CH4'!B4</f>
        <v>153.62996522397421</v>
      </c>
      <c r="D28" s="50"/>
    </row>
    <row r="29" spans="1:4">
      <c r="A29" s="41" t="s">
        <v>272</v>
      </c>
      <c r="B29" s="243">
        <f>B34*'ha_N2O bodem landbouw'!B4</f>
        <v>1.8806425501084683</v>
      </c>
      <c r="C29" s="243">
        <f>B29*'GWP N2O_CH4'!B4</f>
        <v>582.99919053362521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4.2860380793104938E-4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1.7902282706042775E-5</v>
      </c>
      <c r="C5" s="434" t="s">
        <v>210</v>
      </c>
      <c r="D5" s="419">
        <f>SUM(D6:D11)</f>
        <v>3.1024527947098826E-5</v>
      </c>
      <c r="E5" s="419">
        <f>SUM(E6:E11)</f>
        <v>1.725166136416751E-5</v>
      </c>
      <c r="F5" s="432" t="s">
        <v>210</v>
      </c>
      <c r="G5" s="419">
        <f>SUM(G6:G11)</f>
        <v>7.1852186995746345E-3</v>
      </c>
      <c r="H5" s="419">
        <f>SUM(H6:H11)</f>
        <v>1.8902291894501899E-3</v>
      </c>
      <c r="I5" s="434" t="s">
        <v>210</v>
      </c>
      <c r="J5" s="434" t="s">
        <v>210</v>
      </c>
      <c r="K5" s="434" t="s">
        <v>210</v>
      </c>
      <c r="L5" s="434" t="s">
        <v>210</v>
      </c>
      <c r="M5" s="419">
        <f>SUM(M6:M11)</f>
        <v>5.359401159785146E-4</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1.7853936453236573E-5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3.1024527947098826E-5</v>
      </c>
      <c r="E6" s="885">
        <f>vkm_GW_PW*SUMIFS(TableVerdeelsleutelVkm[LPG],TableVerdeelsleutelVkm[Voertuigtype],"Lichte voertuigen")*SUMIFS(TableECFTransport[EnergieConsumptieFactor (PJ per km)],TableECFTransport[Index],CONCATENATE($A6,"_LPG_LPG"))</f>
        <v>1.725166136416751E-5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5.1842882677459821E-3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1.8902088336513157E-3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4.2328464782580581E-4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4.8346252806202329E-8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2.000930431828652E-3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2.0355798874091672E-8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1.1265546815270878E-4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2">
        <f>vkm_NGW_PW*SUMIFS(TableVerdeelsleutelVkm[LPG],TableVerdeelsleutelVkm[Voertuigtype],"Lichte voertuigen")*SUMIFS(TableECFTransport[EnergieConsumptieFactor (PJ per km)],TableECFTransport[Index],CONCATENATE($A8,"_LPG_LPG"))</f>
        <v>0</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4.972856307234105</v>
      </c>
      <c r="C14" s="21"/>
      <c r="D14" s="21">
        <f t="shared" ref="D14:M14" si="0">((D5)*10^9/3600)+D12</f>
        <v>8.6179244297496727</v>
      </c>
      <c r="E14" s="21">
        <f t="shared" si="0"/>
        <v>4.792128156713197</v>
      </c>
      <c r="F14" s="21"/>
      <c r="G14" s="21">
        <f t="shared" si="0"/>
        <v>1995.8940832151761</v>
      </c>
      <c r="H14" s="21">
        <f t="shared" si="0"/>
        <v>525.0636637361639</v>
      </c>
      <c r="I14" s="21"/>
      <c r="J14" s="21"/>
      <c r="K14" s="21"/>
      <c r="L14" s="21"/>
      <c r="M14" s="21">
        <f t="shared" si="0"/>
        <v>148.87225443847629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0.20151601081708828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1.0021101654004136</v>
      </c>
      <c r="C18" s="23"/>
      <c r="D18" s="23">
        <f t="shared" ref="D18:M18" si="1">D14*D16</f>
        <v>1.740820734809434</v>
      </c>
      <c r="E18" s="23">
        <f t="shared" si="1"/>
        <v>1.0878130915738957</v>
      </c>
      <c r="F18" s="23"/>
      <c r="G18" s="23">
        <f t="shared" si="1"/>
        <v>532.90372021845201</v>
      </c>
      <c r="H18" s="23">
        <f t="shared" si="1"/>
        <v>130.7408522703048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1.9094850283547044E-6</v>
      </c>
      <c r="C50" s="315">
        <f t="shared" ref="C50:P50" si="2">SUM(C51:C52)</f>
        <v>0</v>
      </c>
      <c r="D50" s="315">
        <f t="shared" si="2"/>
        <v>0</v>
      </c>
      <c r="E50" s="315">
        <f t="shared" si="2"/>
        <v>0</v>
      </c>
      <c r="F50" s="315">
        <f t="shared" si="2"/>
        <v>0</v>
      </c>
      <c r="G50" s="315">
        <f t="shared" si="2"/>
        <v>1.3629559897722143E-4</v>
      </c>
      <c r="H50" s="315">
        <f t="shared" si="2"/>
        <v>0</v>
      </c>
      <c r="I50" s="315">
        <f t="shared" si="2"/>
        <v>0</v>
      </c>
      <c r="J50" s="315">
        <f t="shared" si="2"/>
        <v>0</v>
      </c>
      <c r="K50" s="315">
        <f t="shared" si="2"/>
        <v>0</v>
      </c>
      <c r="L50" s="315">
        <f t="shared" si="2"/>
        <v>0</v>
      </c>
      <c r="M50" s="315">
        <f t="shared" si="2"/>
        <v>7.5260513231286113E-6</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1.9094850283547044E-6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1.3629559897722143E-4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7.5260513231286113E-6</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0.53041250787630678</v>
      </c>
      <c r="C54" s="21">
        <f t="shared" ref="C54:P54" si="3">(C50)*10^9/3600</f>
        <v>0</v>
      </c>
      <c r="D54" s="21">
        <f t="shared" si="3"/>
        <v>0</v>
      </c>
      <c r="E54" s="21">
        <f t="shared" si="3"/>
        <v>0</v>
      </c>
      <c r="F54" s="21">
        <f t="shared" si="3"/>
        <v>0</v>
      </c>
      <c r="G54" s="21">
        <f t="shared" si="3"/>
        <v>37.859888604783734</v>
      </c>
      <c r="H54" s="21">
        <f t="shared" si="3"/>
        <v>0</v>
      </c>
      <c r="I54" s="21">
        <f t="shared" si="3"/>
        <v>0</v>
      </c>
      <c r="J54" s="21">
        <f t="shared" si="3"/>
        <v>0</v>
      </c>
      <c r="K54" s="21">
        <f t="shared" si="3"/>
        <v>0</v>
      </c>
      <c r="L54" s="21">
        <f t="shared" si="3"/>
        <v>0</v>
      </c>
      <c r="M54" s="21">
        <f t="shared" si="3"/>
        <v>2.0905698119801697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0.20151601081708828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0.10688661267472076</v>
      </c>
      <c r="C58" s="23">
        <f t="shared" ref="C58:P58" ca="1" si="4">C54*C56</f>
        <v>0</v>
      </c>
      <c r="D58" s="23">
        <f t="shared" si="4"/>
        <v>0</v>
      </c>
      <c r="E58" s="23">
        <f t="shared" si="4"/>
        <v>0</v>
      </c>
      <c r="F58" s="23">
        <f t="shared" si="4"/>
        <v>0</v>
      </c>
      <c r="G58" s="23">
        <f t="shared" si="4"/>
        <v>10.108590257477257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234.86168134906015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234.86168134906015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2021-06-29T14:30:49Z</dcterms:modified>
</cp:coreProperties>
</file>