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5" i="13" s="1"/>
  <c r="C34" i="13"/>
  <c r="P5" i="13"/>
  <c r="P8" i="13" s="1"/>
  <c r="Q11" i="14" s="1"/>
  <c r="B37" i="13"/>
  <c r="D6" i="17"/>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29" i="20"/>
  <c r="C17" i="19"/>
  <c r="C19" i="19" s="1"/>
  <c r="D39" i="14" s="1"/>
  <c r="C10" i="17"/>
  <c r="C12" i="17" s="1"/>
  <c r="D54" i="14" s="1"/>
  <c r="D56" i="14" s="1"/>
  <c r="C10" i="13"/>
  <c r="C12" i="13" s="1"/>
  <c r="D41" i="14" s="1"/>
  <c r="D46" i="14" s="1"/>
  <c r="D61" i="14" s="1"/>
  <c r="D63"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<sst xmlns="http://schemas.openxmlformats.org/spreadsheetml/2006/main" count="2473" uniqueCount="900">
  <si>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</si>
  <si>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</si>
  <si>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</si>
  <si>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</si>
  <si>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</si>
  <si>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</si>
  <si>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</si>
  <si>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</si>
  <si>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</si>
  <si>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</si>
  <si>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</si>
  <si>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</si>
  <si>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</si>
  <si>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</si>
  <si>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</si>
  <si>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</si>
  <si>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</si>
  <si>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</si>
  <si>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</si>
  <si>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</si>
  <si>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</si>
  <si>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</si>
  <si>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</si>
  <si>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</si>
  <si>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</si>
  <si>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</si>
  <si>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</si>
  <si>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</si>
  <si>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</si>
  <si>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</si>
  <si>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</si>
  <si>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</si>
  <si>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</si>
  <si>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</si>
  <si>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</si>
  <si>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</si>
  <si>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</si>
  <si>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</si>
  <si>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</si>
  <si>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</si>
  <si>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</si>
  <si>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</si>
  <si>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</si>
  <si>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</si>
  <si>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</si>
  <si>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</si>
  <si>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</si>
  <si>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</si>
  <si>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</si>
  <si>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</si>
  <si>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</si>
  <si>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</si>
  <si>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</si>
  <si>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</si>
  <si>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</si>
  <si>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</si>
  <si>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</si>
  <si>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</si>
  <si>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</si>
  <si>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</si>
  <si>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</si>
  <si>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</si>
  <si>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</si>
  <si>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</si>
  <si>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</si>
  <si>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</si>
  <si>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</si>
  <si>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</si>
  <si>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</si>
  <si>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</si>
  <si>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</si>
  <si>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</si>
  <si>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</si>
  <si>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</si>
  <si>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</si>
  <si>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</si>
  <si>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</si>
  <si>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</si>
  <si>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</si>
  <si>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</si>
  <si>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</si>
  <si>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</si>
  <si>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</si>
  <si>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</si>
  <si>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</si>
  <si>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</si>
  <si>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</si>
  <si>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</si>
  <si>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</si>
  <si>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</si>
  <si>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</si>
  <si>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</si>
  <si>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</si>
  <si>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</si>
  <si>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</si>
  <si>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</si>
  <si>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</si>
  <si>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</si>
  <si>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</si>
  <si>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</si>
  <si>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</si>
  <si>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</si>
  <si>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</si>
  <si>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</si>
  <si>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</si>
  <si>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</si>
  <si>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</si>
  <si>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</si>
  <si>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</si>
  <si>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</si>
  <si>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</si>
  <si>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</si>
  <si>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</si>
  <si>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</si>
  <si>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</si>
  <si>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</si>
  <si>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</si>
  <si>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</si>
  <si>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</si>
  <si>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</si>
  <si>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</si>
  <si>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</si>
  <si>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</si>
  <si>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</si>
  <si>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</si>
  <si>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</si>
  <si>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</si>
  <si>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</si>
  <si>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</si>
  <si>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</si>
  <si>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</si>
  <si>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</si>
  <si>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</si>
  <si>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</si>
  <si>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</si>
  <si>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</si>
  <si>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</si>
  <si>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</si>
  <si>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</si>
  <si>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</si>
  <si>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</si>
  <si>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</si>
  <si>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</si>
  <si>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</si>
  <si>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</si>
  <si>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</si>
  <si>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</si>
  <si>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</si>
  <si>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</si>
  <si>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</si>
  <si>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</si>
  <si>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</si>
  <si>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</si>
  <si>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</si>
  <si>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</si>
  <si>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</si>
  <si>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</si>
  <si>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</si>
  <si>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</si>
  <si>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</si>
  <si>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</si>
  <si>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</si>
  <si>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</si>
  <si>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</si>
  <si>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</si>
  <si>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</si>
  <si>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</si>
  <si>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</si>
  <si>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</si>
  <si>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</si>
  <si>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</si>
  <si>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</si>
  <si>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</si>
  <si>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</si>
  <si>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</si>
  <si>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</si>
  <si>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</si>
  <si>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</si>
  <si>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</si>
  <si>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</si>
  <si>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</si>
  <si>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</si>
  <si>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</si>
  <si>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</si>
  <si>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</si>
  <si>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</si>
  <si>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</si>
  <si>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</si>
  <si>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</si>
  <si>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</si>
  <si>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</si>
  <si>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</si>
  <si>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</si>
  <si>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</si>
  <si>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</si>
  <si>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</si>
  <si>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</si>
  <si>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</si>
  <si>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</si>
  <si>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</si>
  <si>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</si>
  <si>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</si>
  <si>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</si>
  <si>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</si>
  <si>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</si>
  <si>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</si>
  <si>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</si>
  <si>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</si>
  <si>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</si>
  <si>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</si>
  <si>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</si>
  <si>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</si>
  <si>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</si>
  <si>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</si>
  <si>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</si>
  <si>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</si>
  <si>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</si>
  <si>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</si>
  <si>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</si>
  <si>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</si>
  <si>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</si>
  <si>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</si>
  <si>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</si>
  <si>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</si>
  <si>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</si>
  <si>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</si>
  <si>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</si>
  <si>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</si>
  <si>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</si>
  <si>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</si>
  <si>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</si>
  <si>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</si>
  <si>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</si>
  <si>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</si>
  <si>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</si>
  <si>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</si>
  <si>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</si>
  <si>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</si>
  <si>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</si>
  <si>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</si>
  <si>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</si>
  <si>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</si>
  <si>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</si>
  <si>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</si>
  <si>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</si>
  <si>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</si>
  <si>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</si>
  <si>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</si>
  <si>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</si>
  <si>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</si>
  <si>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</si>
  <si>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</si>
  <si>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</si>
  <si>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</si>
  <si>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</si>
  <si>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</si>
  <si>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</si>
  <si>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</si>
  <si>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</si>
  <si>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</si>
  <si>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</si>
  <si>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</si>
  <si>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</si>
  <si>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</si>
  <si>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</si>
  <si>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</si>
  <si>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</si>
  <si>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</si>
  <si>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</si>
  <si>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</si>
  <si>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</si>
  <si>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</si>
  <si>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</si>
  <si>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</si>
  <si>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</si>
  <si>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</si>
  <si>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</si>
  <si>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</si>
  <si>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</si>
  <si>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</si>
  <si>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</si>
  <si>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</si>
  <si>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</si>
  <si>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</si>
  <si>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</si>
  <si>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</si>
  <si>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</si>
  <si>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</si>
  <si>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</si>
  <si>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</si>
  <si>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</si>
  <si>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</si>
  <si>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</si>
  <si>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</si>
  <si>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</si>
  <si>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</si>
  <si>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</si>
  <si>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</si>
  <si>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</si>
  <si>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</si>
  <si>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</si>
  <si>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</si>
  <si>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</si>
  <si>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</si>
  <si>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</si>
  <si>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</si>
  <si>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</si>
  <si>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</si>
  <si>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</si>
  <si>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</si>
  <si>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</si>
  <si>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</si>
  <si>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</si>
  <si>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</si>
  <si>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</si>
  <si>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</si>
  <si>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</si>
  <si>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</si>
  <si>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</si>
  <si>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</si>
  <si>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</si>
  <si>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</si>
  <si>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</si>
  <si>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</si>
  <si>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</si>
  <si>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</si>
  <si>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</si>
  <si>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</si>
  <si>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</si>
  <si>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</si>
  <si>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</si>
  <si>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</si>
  <si>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</si>
  <si>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</si>
  <si>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</si>
  <si>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</si>
  <si>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</si>
  <si>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</si>
  <si>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</si>
  <si>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</si>
  <si>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</si>
  <si>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</si>
  <si>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</si>
  <si>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</si>
  <si>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</si>
  <si>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</si>
  <si>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</si>
  <si>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</si>
  <si>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</si>
  <si>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</si>
  <si>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</si>
  <si>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</si>
  <si>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</si>
  <si>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</si>
  <si>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</si>
  <si>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</si>
  <si>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</si>
  <si>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</si>
  <si>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</si>
  <si>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</si>
  <si>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</si>
  <si>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</si>
  <si>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</si>
  <si>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</si>
  <si>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</si>
  <si>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</si>
  <si>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</si>
  <si>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</si>
  <si>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</si>
  <si>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</si>
  <si>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</si>
  <si>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</si>
  <si>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</si>
  <si>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</si>
  <si>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</si>
  <si>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</si>
  <si>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</si>
  <si>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</si>
  <si>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</si>
  <si>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</si>
  <si>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</si>
  <si>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</si>
  <si>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</si>
  <si>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</si>
  <si>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</si>
  <si>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</si>
  <si>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</si>
  <si>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</si>
  <si>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</si>
  <si>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</si>
  <si>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</si>
  <si>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</si>
  <si>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</si>
  <si>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</si>
  <si>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</si>
  <si>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</si>
  <si>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</si>
  <si>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</si>
  <si>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</si>
  <si>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</si>
  <si>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</si>
  <si>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</si>
  <si>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</si>
  <si>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</si>
  <si>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</si>
  <si>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</si>
  <si>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</si>
  <si>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</si>
  <si>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</si>
  <si>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</si>
  <si>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</si>
  <si>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</si>
  <si>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</si>
  <si>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</si>
  <si>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</si>
  <si>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</si>
  <si>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</si>
  <si>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</si>
  <si>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</si>
  <si>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</si>
  <si>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</si>
  <si>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</si>
  <si>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</si>
  <si>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</si>
  <si>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</si>
  <si>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</si>
  <si>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</si>
  <si>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</si>
  <si>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</si>
  <si>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</si>
  <si>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</si>
  <si>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</si>
  <si>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</si>
  <si>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</si>
  <si>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</si>
  <si>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</si>
  <si>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</si>
  <si>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</si>
  <si>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</si>
  <si>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</si>
  <si>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</si>
  <si>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</si>
  <si>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</si>
  <si>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</si>
  <si>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</si>
  <si>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</si>
  <si>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</si>
  <si>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</si>
  <si>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</si>
  <si>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</si>
  <si>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</si>
  <si>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</si>
  <si>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</si>
  <si>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</si>
  <si>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</si>
  <si>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</si>
  <si>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</si>
  <si>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</si>
  <si>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</si>
  <si>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</si>
  <si>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</si>
  <si>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</si>
  <si>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</si>
  <si>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</si>
  <si>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</si>
  <si>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</si>
  <si>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</si>
  <si>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</si>
  <si>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</si>
  <si>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</si>
  <si>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</si>
  <si>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</si>
  <si>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</si>
  <si>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</si>
  <si>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</si>
  <si>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</si>
  <si>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</si>
  <si>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</si>
  <si>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</si>
  <si>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</si>
  <si>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</si>
  <si>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</si>
  <si>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</si>
  <si>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</si>
  <si>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</si>
  <si>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</si>
  <si>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</si>
  <si>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</si>
  <si>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</si>
  <si>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</si>
  <si>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</si>
  <si>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</si>
  <si>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</si>
  <si>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</si>
  <si>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</si>
  <si>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</si>
  <si>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</si>
  <si>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</si>
  <si>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</si>
  <si>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</si>
  <si>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</si>
  <si>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</si>
  <si>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</si>
  <si>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</si>
  <si>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</si>
  <si>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</si>
  <si>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</si>
  <si>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</si>
  <si>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</si>
  <si>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</si>
  <si>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</si>
  <si>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</si>
  <si>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</si>
  <si>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</si>
  <si>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</si>
  <si>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</si>
  <si>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</si>
  <si>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</si>
  <si>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</si>
  <si>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</si>
  <si>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</si>
  <si>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</si>
  <si>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</si>
  <si>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</si>
  <si>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</si>
  <si>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</si>
  <si>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</si>
  <si>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</si>
  <si>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</si>
  <si>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</si>
  <si>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</si>
  <si>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</si>
  <si>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</si>
  <si>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</si>
  <si>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</si>
  <si>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</si>
  <si>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</si>
  <si>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</si>
  <si>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</si>
  <si>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</si>
  <si>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</si>
  <si>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</si>
  <si>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</si>
  <si>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</si>
  <si>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</si>
  <si>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</si>
  <si>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</si>
  <si>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</si>
  <si>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</si>
  <si>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</si>
  <si>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</si>
  <si>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</si>
  <si>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</si>
  <si>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</si>
  <si>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</si>
  <si>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</si>
  <si>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</si>
  <si>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</si>
  <si>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</si>
  <si>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</si>
  <si>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</si>
  <si>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</si>
  <si>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</si>
  <si>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</si>
  <si>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</si>
  <si>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</si>
  <si>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</si>
  <si>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</si>
  <si>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</si>
  <si>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</si>
  <si>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</si>
  <si>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</si>
  <si>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</si>
  <si>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</si>
  <si>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</si>
  <si>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</si>
  <si>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</si>
  <si>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</si>
  <si>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</si>
  <si>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</si>
  <si>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</si>
  <si>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</si>
  <si>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</si>
  <si>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</si>
  <si>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</si>
  <si>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</si>
  <si>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</si>
  <si>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</si>
  <si>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</si>
  <si>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</si>
  <si>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</si>
  <si>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</si>
  <si>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</si>
  <si>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</si>
  <si>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</si>
  <si>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</si>
  <si>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</si>
  <si>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</si>
  <si>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</si>
  <si>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</si>
  <si>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</si>
  <si>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</si>
  <si>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</si>
  <si>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</si>
  <si>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</si>
  <si>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</si>
  <si>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</si>
  <si>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</si>
  <si>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</si>
  <si>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</si>
  <si>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</si>
  <si>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</si>
  <si>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</si>
  <si>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</si>
  <si>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</si>
  <si>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</si>
  <si>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</si>
  <si>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</si>
  <si>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</si>
  <si>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</si>
  <si>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</si>
  <si>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</si>
  <si>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</si>
  <si>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</si>
  <si>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</si>
  <si>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</si>
  <si>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</si>
  <si>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</si>
  <si>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</si>
  <si>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</si>
  <si>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</si>
  <si>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</si>
  <si>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</si>
  <si>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</si>
  <si>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</si>
  <si>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</si>
  <si>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</si>
  <si>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</si>
  <si>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</si>
  <si>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</si>
  <si>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</si>
  <si>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</si>
  <si>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</si>
  <si>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</si>
  <si>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</si>
  <si>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</si>
  <si>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</si>
  <si>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</si>
  <si>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</si>
  <si>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</si>
  <si>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</si>
  <si>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</si>
  <si>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</si>
  <si>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</si>
  <si>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</si>
  <si>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</si>
  <si>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</si>
  <si>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</si>
  <si>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</si>
  <si>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</si>
  <si>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</si>
  <si>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</si>
  <si>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</si>
  <si>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</si>
  <si>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</si>
  <si>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</si>
  <si>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</si>
  <si>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</si>
  <si>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</si>
  <si>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</si>
  <si>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</si>
  <si>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</si>
  <si>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</si>
  <si>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</si>
  <si>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</si>
  <si>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</si>
  <si>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</si>
  <si>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</si>
  <si>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</si>
  <si>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</si>
  <si>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</si>
  <si>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</si>
  <si>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</si>
  <si>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</si>
  <si>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</si>
  <si>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</si>
  <si>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</si>
  <si>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</si>
  <si>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</si>
  <si>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</si>
  <si>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</si>
  <si>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</si>
  <si>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</si>
  <si>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</si>
  <si>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</si>
  <si>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</si>
  <si>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</si>
  <si>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</si>
  <si>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</si>
  <si>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</si>
  <si>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</si>
  <si>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</si>
  <si>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</si>
  <si>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</si>
  <si>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</si>
  <si>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</si>
  <si>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</si>
  <si>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</si>
  <si>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</si>
  <si>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</si>
  <si>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</si>
  <si>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</si>
  <si>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</si>
  <si>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</si>
  <si>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</si>
  <si>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</si>
  <si>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</si>
  <si>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</si>
  <si>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</si>
  <si>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</si>
  <si>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</si>
  <si>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</si>
  <si>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</si>
  <si>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</si>
  <si>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</si>
  <si>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</si>
  <si>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</si>
  <si>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</si>
  <si>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</si>
  <si>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</si>
  <si>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</si>
  <si>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</si>
  <si>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</si>
  <si>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</si>
  <si>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</si>
  <si>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</si>
  <si>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</si>
  <si>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</si>
  <si>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</si>
  <si>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</si>
  <si>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</si>
  <si>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</si>
  <si>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</si>
  <si>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</si>
  <si>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</si>
  <si>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</si>
  <si>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</si>
  <si>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</si>
  <si>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</si>
  <si>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</si>
  <si>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</si>
  <si>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</si>
  <si>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</si>
  <si>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</si>
  <si>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</si>
  <si>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</si>
  <si>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</si>
  <si>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</si>
  <si>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</si>
  <si>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</si>
  <si>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</si>
  <si>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</si>
  <si>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</si>
  <si>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</si>
  <si>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</si>
  <si>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</si>
  <si>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</si>
  <si>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</si>
  <si>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</si>
  <si>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</si>
  <si>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</si>
  <si>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</si>
  <si>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</si>
  <si>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</si>
  <si>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</si>
  <si>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</si>
  <si>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</si>
  <si>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</si>
  <si>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</si>
  <si>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</si>
  <si>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</si>
  <si>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</si>
  <si>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</si>
  <si>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</si>
  <si>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</si>
  <si>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</si>
  <si>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</si>
  <si>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</si>
  <si>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</si>
  <si>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</si>
  <si>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</si>
  <si>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</si>
  <si>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</si>
  <si>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</si>
  <si>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</si>
  <si>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</si>
  <si>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</si>
  <si>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</si>
  <si>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</si>
  <si>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</si>
  <si>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</si>
  <si>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</si>
  <si>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</si>
  <si>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</si>
  <si>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</si>
  <si>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</si>
  <si>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</si>
  <si>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</si>
  <si>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</si>
  <si>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</si>
  <si>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</si>
  <si>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</si>
  <si>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</si>
  <si>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</si>
  <si>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</si>
  <si>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</si>
  <si>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</si>
  <si>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</si>
  <si>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</si>
  <si>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</si>
  <si>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</si>
  <si>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</si>
  <si>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</si>
  <si>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</si>
  <si>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</si>
  <si>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</si>
  <si>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</si>
  <si>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</si>
  <si>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</si>
  <si>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</si>
  <si>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</si>
  <si>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</si>
  <si>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</si>
  <si>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</si>
  <si>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</si>
  <si>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</si>
  <si>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</si>
  <si>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</si>
  <si>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</si>
  <si>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</si>
  <si>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</si>
  <si>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</si>
  <si>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</si>
  <si>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</si>
  <si>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</si>
  <si>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</si>
  <si>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</si>
  <si>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</si>
  <si>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</si>
  <si>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</si>
  <si>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</si>
  <si>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</si>
  <si>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</si>
  <si>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</si>
  <si>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</si>
  <si>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</si>
  <si>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</si>
  <si>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</si>
  <si>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</si>
  <si>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</si>
  <si>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</si>
  <si>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</si>
  <si>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</si>
  <si>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</si>
  <si>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</si>
  <si>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</si>
  <si>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</si>
  <si>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</si>
  <si>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</si>
  <si>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</si>
  <si>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</si>
  <si>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</si>
  <si>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</si>
  <si>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</si>
  <si>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</si>
  <si>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</si>
  <si>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</si>
  <si>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</si>
  <si>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</si>
  <si>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32003</t>
  </si>
  <si>
    <t>DIKSMUIDE</t>
  </si>
  <si>
    <t>referentietaak LNE (2017); Jaarverslag De Lijn</t>
  </si>
  <si>
    <t>waterkracht</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</si>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</sst>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136822.41198866756</c:v>
                </c:pt>
                <c:pt idx="1">
                  <c:v>61005.498617103491</c:v>
                </c:pt>
                <c:pt idx="2">
                  <c:v>1004.223574</c:v>
                </c:pt>
                <c:pt idx="3">
                  <c:v>45507.677643886243</c:v>
                </c:pt>
                <c:pt idx="4">
                  <c:v>43500.142455776644</c:v>
                </c:pt>
                <c:pt idx="5">
                  <c:v>137268.10611952338</c:v>
                </c:pt>
                <c:pt idx="6">
                  <c:v>1893.0363968092645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136822.41198866756</c:v>
                </c:pt>
                <c:pt idx="1">
                  <c:v>61005.498617103491</c:v>
                </c:pt>
                <c:pt idx="2">
                  <c:v>1004.223574</c:v>
                </c:pt>
                <c:pt idx="3">
                  <c:v>45507.677643886243</c:v>
                </c:pt>
                <c:pt idx="4">
                  <c:v>43500.142455776644</c:v>
                </c:pt>
                <c:pt idx="5">
                  <c:v>137268.10611952338</c:v>
                </c:pt>
                <c:pt idx="6">
                  <c:v>1893.0363968092645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27741.632422660899</c:v>
                </c:pt>
                <c:pt idx="1">
                  <c:v>11683.069510286341</c:v>
                </c:pt>
                <c:pt idx="2">
                  <c:v>186.99553432674944</c:v>
                </c:pt>
                <c:pt idx="3">
                  <c:v>11447.38628073259</c:v>
                </c:pt>
                <c:pt idx="4">
                  <c:v>8814.9611918677492</c:v>
                </c:pt>
                <c:pt idx="5">
                  <c:v>34124.098722563693</c:v>
                </c:pt>
                <c:pt idx="6">
                  <c:v>477.33409712135801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27741.632422660899</c:v>
                </c:pt>
                <c:pt idx="1">
                  <c:v>11683.069510286341</c:v>
                </c:pt>
                <c:pt idx="2">
                  <c:v>186.99553432674944</c:v>
                </c:pt>
                <c:pt idx="3">
                  <c:v>11447.38628073259</c:v>
                </c:pt>
                <c:pt idx="4">
                  <c:v>8814.9611918677492</c:v>
                </c:pt>
                <c:pt idx="5">
                  <c:v>34124.098722563693</c:v>
                </c:pt>
                <c:pt idx="6">
                  <c:v>477.33409712135801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32003</v>
      </c>
      <c r="B6" s="386"/>
      <c r="C6" s="387"/>
    </row>
    <row r="7" spans="1:7" s="384" customFormat="1" ht="15.75" customHeight="1">
      <c r="A7" s="388" t="str">
        <f>txtMunicipality</f>
        <v>DIKSMUIDE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29006.824726999999</v>
      </c>
      <c r="D10" s="682">
        <f ca="1">tertiair!C16</f>
        <v>0</v>
      </c>
      <c r="E10" s="682">
        <f ca="1">tertiair!D16</f>
        <v>22535.305851051002</v>
      </c>
      <c r="F10" s="682">
        <f>tertiair!E16</f>
        <v>159.05306477629603</v>
      </c>
      <c r="G10" s="682">
        <f ca="1">tertiair!F16</f>
        <v>7042.9358178194625</v>
      </c>
      <c r="H10" s="682">
        <f>tertiair!G16</f>
        <v>0</v>
      </c>
      <c r="I10" s="682">
        <f>tertiair!H16</f>
        <v>0</v>
      </c>
      <c r="J10" s="682">
        <f>tertiair!I16</f>
        <v>0</v>
      </c>
      <c r="K10" s="682">
        <f>tertiair!J16</f>
        <v>8.6433640545991383E-2</v>
      </c>
      <c r="L10" s="682">
        <f>tertiair!K16</f>
        <v>0</v>
      </c>
      <c r="M10" s="682">
        <f ca="1">tertiair!L16</f>
        <v>0</v>
      </c>
      <c r="N10" s="682">
        <f>tertiair!M16</f>
        <v>0</v>
      </c>
      <c r="O10" s="682">
        <f ca="1">tertiair!N16</f>
        <v>3145.7462379056842</v>
      </c>
      <c r="P10" s="682">
        <f>tertiair!O16</f>
        <v>14.691782297523464</v>
      </c>
      <c r="Q10" s="683">
        <f>tertiair!P16</f>
        <v>105.07827661299004</v>
      </c>
      <c r="R10" s="685">
        <f ca="1">SUM(C10:Q10)</f>
        <v>62009.722191103494</v>
      </c>
      <c r="S10" s="67"/>
    </row>
    <row r="11" spans="1:19" s="445" customFormat="1">
      <c r="A11" s="803" t="s">
        <v>220</v>
      </c>
      <c r="B11" s="808"/>
      <c r="C11" s="682">
        <f>huishoudens!B8</f>
        <v>27794.550855745219</v>
      </c>
      <c r="D11" s="682">
        <f>huishoudens!C8</f>
        <v>0</v>
      </c>
      <c r="E11" s="682">
        <f>huishoudens!D8</f>
        <v>55478.787357966183</v>
      </c>
      <c r="F11" s="682">
        <f>huishoudens!E8</f>
        <v>1794.0019868419827</v>
      </c>
      <c r="G11" s="682">
        <f>huishoudens!F8</f>
        <v>40748.746935300696</v>
      </c>
      <c r="H11" s="682">
        <f>huishoudens!G8</f>
        <v>0</v>
      </c>
      <c r="I11" s="682">
        <f>huishoudens!H8</f>
        <v>0</v>
      </c>
      <c r="J11" s="682">
        <f>huishoudens!I8</f>
        <v>0</v>
      </c>
      <c r="K11" s="682">
        <f>huishoudens!J8</f>
        <v>203.85910581434521</v>
      </c>
      <c r="L11" s="682">
        <f>huishoudens!K8</f>
        <v>0</v>
      </c>
      <c r="M11" s="682">
        <f>huishoudens!L8</f>
        <v>0</v>
      </c>
      <c r="N11" s="682">
        <f>huishoudens!M8</f>
        <v>0</v>
      </c>
      <c r="O11" s="682">
        <f>huishoudens!N8</f>
        <v>9872.5999023178956</v>
      </c>
      <c r="P11" s="682">
        <f>huishoudens!O8</f>
        <v>497.97351306614496</v>
      </c>
      <c r="Q11" s="683">
        <f>huishoudens!P8</f>
        <v>431.89233161508594</v>
      </c>
      <c r="R11" s="685">
        <f>SUM(C11:Q11)</f>
        <v>136822.41198866756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24948.636845000001</v>
      </c>
      <c r="D13" s="682">
        <f>industrie!C18</f>
        <v>0</v>
      </c>
      <c r="E13" s="682">
        <f>industrie!D18</f>
        <v>8584.2196832699992</v>
      </c>
      <c r="F13" s="682">
        <f>industrie!E18</f>
        <v>85.476256942851251</v>
      </c>
      <c r="G13" s="682">
        <f>industrie!F18</f>
        <v>9041.9114404566371</v>
      </c>
      <c r="H13" s="682">
        <f>industrie!G18</f>
        <v>0</v>
      </c>
      <c r="I13" s="682">
        <f>industrie!H18</f>
        <v>0</v>
      </c>
      <c r="J13" s="682">
        <f>industrie!I18</f>
        <v>0</v>
      </c>
      <c r="K13" s="682">
        <f>industrie!J18</f>
        <v>4.7824073446112276</v>
      </c>
      <c r="L13" s="682">
        <f>industrie!K18</f>
        <v>0</v>
      </c>
      <c r="M13" s="682">
        <f>industrie!L18</f>
        <v>0</v>
      </c>
      <c r="N13" s="682">
        <f>industrie!M18</f>
        <v>0</v>
      </c>
      <c r="O13" s="682">
        <f>industrie!N18</f>
        <v>835.11582276255001</v>
      </c>
      <c r="P13" s="682">
        <f>industrie!O18</f>
        <v>0</v>
      </c>
      <c r="Q13" s="683">
        <f>industrie!P18</f>
        <v>0</v>
      </c>
      <c r="R13" s="685">
        <f>SUM(C13:Q13)</f>
        <v>43500.142455776644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81750.012427745212</v>
      </c>
      <c r="D16" s="718">
        <f t="shared" ref="D16:R16" ca="1" si="0">SUM(D9:D15)</f>
        <v>0</v>
      </c>
      <c r="E16" s="718">
        <f t="shared" ca="1" si="0"/>
        <v>86598.312892287184</v>
      </c>
      <c r="F16" s="718">
        <f t="shared" si="0"/>
        <v>2038.5313085611299</v>
      </c>
      <c r="G16" s="718">
        <f t="shared" ca="1" si="0"/>
        <v>56833.594193576791</v>
      </c>
      <c r="H16" s="718">
        <f t="shared" si="0"/>
        <v>0</v>
      </c>
      <c r="I16" s="718">
        <f t="shared" si="0"/>
        <v>0</v>
      </c>
      <c r="J16" s="718">
        <f t="shared" si="0"/>
        <v>0</v>
      </c>
      <c r="K16" s="718">
        <f t="shared" si="0"/>
        <v>208.72794679950243</v>
      </c>
      <c r="L16" s="718">
        <f t="shared" si="0"/>
        <v>0</v>
      </c>
      <c r="M16" s="718">
        <f t="shared" ca="1" si="0"/>
        <v>0</v>
      </c>
      <c r="N16" s="718">
        <f t="shared" si="0"/>
        <v>0</v>
      </c>
      <c r="O16" s="718">
        <f t="shared" ca="1" si="0"/>
        <v>13853.46196298613</v>
      </c>
      <c r="P16" s="718">
        <f t="shared" si="0"/>
        <v>512.66529536366841</v>
      </c>
      <c r="Q16" s="718">
        <f t="shared" si="0"/>
        <v>536.970608228076</v>
      </c>
      <c r="R16" s="718">
        <f t="shared" ca="1" si="0"/>
        <v>242332.27663554769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24.804065717903121</v>
      </c>
      <c r="D19" s="682">
        <f>transport!C54</f>
        <v>0</v>
      </c>
      <c r="E19" s="682">
        <f>transport!D54</f>
        <v>0</v>
      </c>
      <c r="F19" s="682">
        <f>transport!E54</f>
        <v>0</v>
      </c>
      <c r="G19" s="682">
        <f>transport!F54</f>
        <v>0</v>
      </c>
      <c r="H19" s="682">
        <f>transport!G54</f>
        <v>1770.4694951208471</v>
      </c>
      <c r="I19" s="682">
        <f>transport!H54</f>
        <v>0</v>
      </c>
      <c r="J19" s="682">
        <f>transport!I54</f>
        <v>0</v>
      </c>
      <c r="K19" s="682">
        <f>transport!J54</f>
        <v>0</v>
      </c>
      <c r="L19" s="682">
        <f>transport!K54</f>
        <v>0</v>
      </c>
      <c r="M19" s="682">
        <f>transport!L54</f>
        <v>0</v>
      </c>
      <c r="N19" s="682">
        <f>transport!M54</f>
        <v>97.762835970514288</v>
      </c>
      <c r="O19" s="682">
        <f>transport!N54</f>
        <v>0</v>
      </c>
      <c r="P19" s="682">
        <f>transport!O54</f>
        <v>0</v>
      </c>
      <c r="Q19" s="683">
        <f>transport!P54</f>
        <v>0</v>
      </c>
      <c r="R19" s="685">
        <f>SUM(C19:Q19)</f>
        <v>1893.0363968092645</v>
      </c>
      <c r="S19" s="67"/>
    </row>
    <row r="20" spans="1:19" s="445" customFormat="1">
      <c r="A20" s="803" t="s">
        <v>302</v>
      </c>
      <c r="B20" s="808"/>
      <c r="C20" s="682">
        <f>transport!B14</f>
        <v>224.8938775496718</v>
      </c>
      <c r="D20" s="682">
        <f>transport!C14</f>
        <v>0</v>
      </c>
      <c r="E20" s="682">
        <f>transport!D14</f>
        <v>409.84316498568012</v>
      </c>
      <c r="F20" s="682">
        <f>transport!E14</f>
        <v>225.71456376696435</v>
      </c>
      <c r="G20" s="682">
        <f>transport!F14</f>
        <v>0</v>
      </c>
      <c r="H20" s="682">
        <f>transport!G14</f>
        <v>103924.3938913079</v>
      </c>
      <c r="I20" s="682">
        <f>transport!H14</f>
        <v>24901.135539236479</v>
      </c>
      <c r="J20" s="682">
        <f>transport!I14</f>
        <v>0</v>
      </c>
      <c r="K20" s="682">
        <f>transport!J14</f>
        <v>0</v>
      </c>
      <c r="L20" s="682">
        <f>transport!K14</f>
        <v>0</v>
      </c>
      <c r="M20" s="682">
        <f>transport!L14</f>
        <v>0</v>
      </c>
      <c r="N20" s="682">
        <f>transport!M14</f>
        <v>7582.12508267668</v>
      </c>
      <c r="O20" s="682">
        <f>transport!N14</f>
        <v>0</v>
      </c>
      <c r="P20" s="682">
        <f>transport!O14</f>
        <v>0</v>
      </c>
      <c r="Q20" s="683">
        <f>transport!P14</f>
        <v>0</v>
      </c>
      <c r="R20" s="685">
        <f>SUM(C20:Q20)</f>
        <v>137268.10611952338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249.69794326757491</v>
      </c>
      <c r="D22" s="806">
        <f t="shared" ref="D22:R22" si="1">SUM(D18:D21)</f>
        <v>0</v>
      </c>
      <c r="E22" s="806">
        <f t="shared" si="1"/>
        <v>409.84316498568012</v>
      </c>
      <c r="F22" s="806">
        <f t="shared" si="1"/>
        <v>225.71456376696435</v>
      </c>
      <c r="G22" s="806">
        <f t="shared" si="1"/>
        <v>0</v>
      </c>
      <c r="H22" s="806">
        <f t="shared" si="1"/>
        <v>105694.86338642875</v>
      </c>
      <c r="I22" s="806">
        <f t="shared" si="1"/>
        <v>24901.135539236479</v>
      </c>
      <c r="J22" s="806">
        <f t="shared" si="1"/>
        <v>0</v>
      </c>
      <c r="K22" s="806">
        <f t="shared" si="1"/>
        <v>0</v>
      </c>
      <c r="L22" s="806">
        <f t="shared" si="1"/>
        <v>0</v>
      </c>
      <c r="M22" s="806">
        <f t="shared" si="1"/>
        <v>0</v>
      </c>
      <c r="N22" s="806">
        <f t="shared" si="1"/>
        <v>7679.8879186471941</v>
      </c>
      <c r="O22" s="806">
        <f t="shared" si="1"/>
        <v>0</v>
      </c>
      <c r="P22" s="806">
        <f t="shared" si="1"/>
        <v>0</v>
      </c>
      <c r="Q22" s="806">
        <f t="shared" si="1"/>
        <v>0</v>
      </c>
      <c r="R22" s="806">
        <f t="shared" si="1"/>
        <v>139161.14251633265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9786.8547326881799</v>
      </c>
      <c r="D24" s="682">
        <f>+landbouw!C8</f>
        <v>268.07142857142856</v>
      </c>
      <c r="E24" s="682">
        <f>+landbouw!D8</f>
        <v>766.33350729600011</v>
      </c>
      <c r="F24" s="682">
        <f>+landbouw!E8</f>
        <v>364.98174883507198</v>
      </c>
      <c r="G24" s="682">
        <f>+landbouw!F8</f>
        <v>31752.338542371974</v>
      </c>
      <c r="H24" s="682">
        <f>+landbouw!G8</f>
        <v>0</v>
      </c>
      <c r="I24" s="682">
        <f>+landbouw!H8</f>
        <v>0</v>
      </c>
      <c r="J24" s="682">
        <f>+landbouw!I8</f>
        <v>0</v>
      </c>
      <c r="K24" s="682">
        <f>+landbouw!J8</f>
        <v>2569.0976841235915</v>
      </c>
      <c r="L24" s="682">
        <f>+landbouw!K8</f>
        <v>0</v>
      </c>
      <c r="M24" s="682">
        <f>+landbouw!L8</f>
        <v>0</v>
      </c>
      <c r="N24" s="682">
        <f>+landbouw!M8</f>
        <v>0</v>
      </c>
      <c r="O24" s="682">
        <f>+landbouw!N8</f>
        <v>0</v>
      </c>
      <c r="P24" s="682">
        <f>+landbouw!O8</f>
        <v>0</v>
      </c>
      <c r="Q24" s="683">
        <f>+landbouw!P8</f>
        <v>0</v>
      </c>
      <c r="R24" s="685">
        <f>SUM(C24:Q24)</f>
        <v>45507.677643886243</v>
      </c>
      <c r="S24" s="67"/>
    </row>
    <row r="25" spans="1:19" s="445" customFormat="1" ht="15" thickBot="1">
      <c r="A25" s="825" t="s">
        <v>703</v>
      </c>
      <c r="B25" s="938"/>
      <c r="C25" s="939">
        <f>IF(Onbekend_ele_kWh="---",0,Onbekend_ele_kWh)/1000+IF(REST_rest_ele_kWh="---",0,REST_rest_ele_kWh)/1000</f>
        <v>749.52690099999995</v>
      </c>
      <c r="D25" s="939"/>
      <c r="E25" s="939">
        <f>IF(onbekend_gas_kWh="---",0,onbekend_gas_kWh)/1000+IF(REST_rest_gas_kWh="---",0,REST_rest_gas_kWh)/1000</f>
        <v>2929.0357510000003</v>
      </c>
      <c r="F25" s="939"/>
      <c r="G25" s="939"/>
      <c r="H25" s="939"/>
      <c r="I25" s="939"/>
      <c r="J25" s="939"/>
      <c r="K25" s="939"/>
      <c r="L25" s="939"/>
      <c r="M25" s="939"/>
      <c r="N25" s="939"/>
      <c r="O25" s="939"/>
      <c r="P25" s="939"/>
      <c r="Q25" s="940"/>
      <c r="R25" s="685">
        <f>SUM(C25:Q25)</f>
        <v>3678.5626520000005</v>
      </c>
      <c r="S25" s="67"/>
    </row>
    <row r="26" spans="1:19" s="445" customFormat="1" ht="15.75" thickBot="1">
      <c r="A26" s="690" t="s">
        <v>704</v>
      </c>
      <c r="B26" s="811"/>
      <c r="C26" s="806">
        <f>SUM(C24:C25)</f>
        <v>10536.381633688179</v>
      </c>
      <c r="D26" s="806">
        <f t="shared" ref="D26:R26" si="2">SUM(D24:D25)</f>
        <v>268.07142857142856</v>
      </c>
      <c r="E26" s="806">
        <f t="shared" si="2"/>
        <v>3695.3692582960002</v>
      </c>
      <c r="F26" s="806">
        <f t="shared" si="2"/>
        <v>364.98174883507198</v>
      </c>
      <c r="G26" s="806">
        <f t="shared" si="2"/>
        <v>31752.338542371974</v>
      </c>
      <c r="H26" s="806">
        <f t="shared" si="2"/>
        <v>0</v>
      </c>
      <c r="I26" s="806">
        <f t="shared" si="2"/>
        <v>0</v>
      </c>
      <c r="J26" s="806">
        <f t="shared" si="2"/>
        <v>0</v>
      </c>
      <c r="K26" s="806">
        <f t="shared" si="2"/>
        <v>2569.0976841235915</v>
      </c>
      <c r="L26" s="806">
        <f t="shared" si="2"/>
        <v>0</v>
      </c>
      <c r="M26" s="806">
        <f t="shared" si="2"/>
        <v>0</v>
      </c>
      <c r="N26" s="806">
        <f t="shared" si="2"/>
        <v>0</v>
      </c>
      <c r="O26" s="806">
        <f t="shared" si="2"/>
        <v>0</v>
      </c>
      <c r="P26" s="806">
        <f t="shared" si="2"/>
        <v>0</v>
      </c>
      <c r="Q26" s="806">
        <f t="shared" si="2"/>
        <v>0</v>
      </c>
      <c r="R26" s="806">
        <f t="shared" si="2"/>
        <v>49186.240295886244</v>
      </c>
      <c r="S26" s="67"/>
    </row>
    <row r="27" spans="1:19" s="445" customFormat="1" ht="17.25" thickTop="1" thickBot="1">
      <c r="A27" s="691" t="s">
        <v>115</v>
      </c>
      <c r="B27" s="798"/>
      <c r="C27" s="692">
        <f ca="1">C22+C16+C26</f>
        <v>92536.092004700971</v>
      </c>
      <c r="D27" s="692">
        <f t="shared" ref="D27:R27" ca="1" si="3">D22+D16+D26</f>
        <v>268.07142857142856</v>
      </c>
      <c r="E27" s="692">
        <f t="shared" ca="1" si="3"/>
        <v>90703.52531556887</v>
      </c>
      <c r="F27" s="692">
        <f t="shared" si="3"/>
        <v>2629.2276211631661</v>
      </c>
      <c r="G27" s="692">
        <f t="shared" ca="1" si="3"/>
        <v>88585.932735948765</v>
      </c>
      <c r="H27" s="692">
        <f t="shared" si="3"/>
        <v>105694.86338642875</v>
      </c>
      <c r="I27" s="692">
        <f t="shared" si="3"/>
        <v>24901.135539236479</v>
      </c>
      <c r="J27" s="692">
        <f t="shared" si="3"/>
        <v>0</v>
      </c>
      <c r="K27" s="692">
        <f t="shared" si="3"/>
        <v>2777.8256309230937</v>
      </c>
      <c r="L27" s="692">
        <f t="shared" si="3"/>
        <v>0</v>
      </c>
      <c r="M27" s="692">
        <f t="shared" ca="1" si="3"/>
        <v>0</v>
      </c>
      <c r="N27" s="692">
        <f t="shared" si="3"/>
        <v>7679.8879186471941</v>
      </c>
      <c r="O27" s="692">
        <f t="shared" ca="1" si="3"/>
        <v>13853.46196298613</v>
      </c>
      <c r="P27" s="692">
        <f t="shared" si="3"/>
        <v>512.66529536366841</v>
      </c>
      <c r="Q27" s="692">
        <f t="shared" si="3"/>
        <v>536.970608228076</v>
      </c>
      <c r="R27" s="692">
        <f t="shared" ca="1" si="3"/>
        <v>430679.65944776655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5401.3337561300195</v>
      </c>
      <c r="D40" s="682">
        <f ca="1">tertiair!C20</f>
        <v>0</v>
      </c>
      <c r="E40" s="682">
        <f ca="1">tertiair!D20</f>
        <v>4552.1317819123024</v>
      </c>
      <c r="F40" s="682">
        <f>tertiair!E20</f>
        <v>36.105045704219201</v>
      </c>
      <c r="G40" s="682">
        <f ca="1">tertiair!F20</f>
        <v>1880.4638633577965</v>
      </c>
      <c r="H40" s="682">
        <f>tertiair!G20</f>
        <v>0</v>
      </c>
      <c r="I40" s="682">
        <f>tertiair!H20</f>
        <v>0</v>
      </c>
      <c r="J40" s="682">
        <f>tertiair!I20</f>
        <v>0</v>
      </c>
      <c r="K40" s="682">
        <f>tertiair!J20</f>
        <v>3.0597508753280947E-2</v>
      </c>
      <c r="L40" s="682">
        <f>tertiair!K20</f>
        <v>0</v>
      </c>
      <c r="M40" s="682">
        <f ca="1">tertiair!L20</f>
        <v>0</v>
      </c>
      <c r="N40" s="682">
        <f>tertiair!M20</f>
        <v>0</v>
      </c>
      <c r="O40" s="682">
        <f ca="1">tertiair!N20</f>
        <v>0</v>
      </c>
      <c r="P40" s="682">
        <f>tertiair!O20</f>
        <v>0</v>
      </c>
      <c r="Q40" s="765">
        <f>tertiair!P20</f>
        <v>0</v>
      </c>
      <c r="R40" s="844">
        <f t="shared" ca="1" si="4"/>
        <v>11870.065044613089</v>
      </c>
    </row>
    <row r="41" spans="1:18">
      <c r="A41" s="816" t="s">
        <v>220</v>
      </c>
      <c r="B41" s="823"/>
      <c r="C41" s="682">
        <f ca="1">huishoudens!B12</f>
        <v>5175.5973701550329</v>
      </c>
      <c r="D41" s="682">
        <f ca="1">huishoudens!C12</f>
        <v>0</v>
      </c>
      <c r="E41" s="682">
        <f>huishoudens!D12</f>
        <v>11206.715046309169</v>
      </c>
      <c r="F41" s="682">
        <f>huishoudens!E12</f>
        <v>407.23845101313009</v>
      </c>
      <c r="G41" s="682">
        <f>huishoudens!F12</f>
        <v>10879.915431725287</v>
      </c>
      <c r="H41" s="682">
        <f>huishoudens!G12</f>
        <v>0</v>
      </c>
      <c r="I41" s="682">
        <f>huishoudens!H12</f>
        <v>0</v>
      </c>
      <c r="J41" s="682">
        <f>huishoudens!I12</f>
        <v>0</v>
      </c>
      <c r="K41" s="682">
        <f>huishoudens!J12</f>
        <v>72.166123458278207</v>
      </c>
      <c r="L41" s="682">
        <f>huishoudens!K12</f>
        <v>0</v>
      </c>
      <c r="M41" s="682">
        <f>huishoudens!L12</f>
        <v>0</v>
      </c>
      <c r="N41" s="682">
        <f>huishoudens!M12</f>
        <v>0</v>
      </c>
      <c r="O41" s="682">
        <f>huishoudens!N12</f>
        <v>0</v>
      </c>
      <c r="P41" s="682">
        <f>huishoudens!O12</f>
        <v>0</v>
      </c>
      <c r="Q41" s="765">
        <f>huishoudens!P12</f>
        <v>0</v>
      </c>
      <c r="R41" s="844">
        <f t="shared" ca="1" si="4"/>
        <v>27741.632422660899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4645.6623787192666</v>
      </c>
      <c r="D43" s="682">
        <f ca="1">industrie!C22</f>
        <v>0</v>
      </c>
      <c r="E43" s="682">
        <f>industrie!D22</f>
        <v>1734.0123760205399</v>
      </c>
      <c r="F43" s="682">
        <f>industrie!E22</f>
        <v>19.403110326027235</v>
      </c>
      <c r="G43" s="682">
        <f>industrie!F22</f>
        <v>2414.1903546019221</v>
      </c>
      <c r="H43" s="682">
        <f>industrie!G22</f>
        <v>0</v>
      </c>
      <c r="I43" s="682">
        <f>industrie!H22</f>
        <v>0</v>
      </c>
      <c r="J43" s="682">
        <f>industrie!I22</f>
        <v>0</v>
      </c>
      <c r="K43" s="682">
        <f>industrie!J22</f>
        <v>1.6929721999923746</v>
      </c>
      <c r="L43" s="682">
        <f>industrie!K22</f>
        <v>0</v>
      </c>
      <c r="M43" s="682">
        <f>industrie!L22</f>
        <v>0</v>
      </c>
      <c r="N43" s="682">
        <f>industrie!M22</f>
        <v>0</v>
      </c>
      <c r="O43" s="682">
        <f>industrie!N22</f>
        <v>0</v>
      </c>
      <c r="P43" s="682">
        <f>industrie!O22</f>
        <v>0</v>
      </c>
      <c r="Q43" s="765">
        <f>industrie!P22</f>
        <v>0</v>
      </c>
      <c r="R43" s="843">
        <f t="shared" ca="1" si="4"/>
        <v>8814.9611918677492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15222.593505004319</v>
      </c>
      <c r="D46" s="718">
        <f t="shared" ref="D46:Q46" ca="1" si="5">SUM(D39:D45)</f>
        <v>0</v>
      </c>
      <c r="E46" s="718">
        <f t="shared" ca="1" si="5"/>
        <v>17492.85920424201</v>
      </c>
      <c r="F46" s="718">
        <f t="shared" si="5"/>
        <v>462.74660704337651</v>
      </c>
      <c r="G46" s="718">
        <f t="shared" ca="1" si="5"/>
        <v>15174.569649685005</v>
      </c>
      <c r="H46" s="718">
        <f t="shared" si="5"/>
        <v>0</v>
      </c>
      <c r="I46" s="718">
        <f t="shared" si="5"/>
        <v>0</v>
      </c>
      <c r="J46" s="718">
        <f t="shared" si="5"/>
        <v>0</v>
      </c>
      <c r="K46" s="718">
        <f t="shared" si="5"/>
        <v>73.88969316702385</v>
      </c>
      <c r="L46" s="718">
        <f t="shared" si="5"/>
        <v>0</v>
      </c>
      <c r="M46" s="718">
        <f t="shared" ca="1" si="5"/>
        <v>0</v>
      </c>
      <c r="N46" s="718">
        <f t="shared" si="5"/>
        <v>0</v>
      </c>
      <c r="O46" s="718">
        <f t="shared" ca="1" si="5"/>
        <v>0</v>
      </c>
      <c r="P46" s="718">
        <f t="shared" si="5"/>
        <v>0</v>
      </c>
      <c r="Q46" s="718">
        <f t="shared" si="5"/>
        <v>0</v>
      </c>
      <c r="R46" s="718">
        <f ca="1">SUM(R39:R45)</f>
        <v>48426.658659141736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4.6187419240917977</v>
      </c>
      <c r="D49" s="682">
        <f ca="1">transport!C58</f>
        <v>0</v>
      </c>
      <c r="E49" s="682">
        <f>transport!D58</f>
        <v>0</v>
      </c>
      <c r="F49" s="682">
        <f>transport!E58</f>
        <v>0</v>
      </c>
      <c r="G49" s="682">
        <f>transport!F58</f>
        <v>0</v>
      </c>
      <c r="H49" s="682">
        <f>transport!G58</f>
        <v>472.71535519726621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477.33409712135801</v>
      </c>
    </row>
    <row r="50" spans="1:18">
      <c r="A50" s="819" t="s">
        <v>302</v>
      </c>
      <c r="B50" s="829"/>
      <c r="C50" s="688">
        <f ca="1">transport!B18</f>
        <v>41.877279012387973</v>
      </c>
      <c r="D50" s="688">
        <f>transport!C18</f>
        <v>0</v>
      </c>
      <c r="E50" s="688">
        <f>transport!D18</f>
        <v>82.788319327107388</v>
      </c>
      <c r="F50" s="688">
        <f>transport!E18</f>
        <v>51.237205975100906</v>
      </c>
      <c r="G50" s="688">
        <f>transport!F18</f>
        <v>0</v>
      </c>
      <c r="H50" s="688">
        <f>transport!G18</f>
        <v>27747.813168979214</v>
      </c>
      <c r="I50" s="688">
        <f>transport!H18</f>
        <v>6200.3827492698829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34124.098722563693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46.496020936479773</v>
      </c>
      <c r="D52" s="718">
        <f t="shared" ref="D52:Q52" ca="1" si="6">SUM(D48:D51)</f>
        <v>0</v>
      </c>
      <c r="E52" s="718">
        <f t="shared" si="6"/>
        <v>82.788319327107388</v>
      </c>
      <c r="F52" s="718">
        <f t="shared" si="6"/>
        <v>51.237205975100906</v>
      </c>
      <c r="G52" s="718">
        <f t="shared" si="6"/>
        <v>0</v>
      </c>
      <c r="H52" s="718">
        <f t="shared" si="6"/>
        <v>28220.52852417648</v>
      </c>
      <c r="I52" s="718">
        <f t="shared" si="6"/>
        <v>6200.3827492698829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34601.432819685047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1822.4010842801652</v>
      </c>
      <c r="D54" s="688">
        <f ca="1">+landbouw!C12</f>
        <v>0</v>
      </c>
      <c r="E54" s="688">
        <f>+landbouw!D12</f>
        <v>154.79936847379204</v>
      </c>
      <c r="F54" s="688">
        <f>+landbouw!E12</f>
        <v>82.850856985561336</v>
      </c>
      <c r="G54" s="688">
        <f>+landbouw!F12</f>
        <v>8477.8743908133183</v>
      </c>
      <c r="H54" s="688">
        <f>+landbouw!G12</f>
        <v>0</v>
      </c>
      <c r="I54" s="688">
        <f>+landbouw!H12</f>
        <v>0</v>
      </c>
      <c r="J54" s="688">
        <f>+landbouw!I12</f>
        <v>0</v>
      </c>
      <c r="K54" s="688">
        <f>+landbouw!J12</f>
        <v>909.46058017975133</v>
      </c>
      <c r="L54" s="688">
        <f>+landbouw!K12</f>
        <v>0</v>
      </c>
      <c r="M54" s="688">
        <f>+landbouw!L12</f>
        <v>0</v>
      </c>
      <c r="N54" s="688">
        <f>+landbouw!M12</f>
        <v>0</v>
      </c>
      <c r="O54" s="688">
        <f>+landbouw!N12</f>
        <v>0</v>
      </c>
      <c r="P54" s="688">
        <f>+landbouw!O12</f>
        <v>0</v>
      </c>
      <c r="Q54" s="689">
        <f>+landbouw!P12</f>
        <v>0</v>
      </c>
      <c r="R54" s="717">
        <f ca="1">SUM(C54:Q54)</f>
        <v>11447.38628073259</v>
      </c>
    </row>
    <row r="55" spans="1:18" ht="15" thickBot="1">
      <c r="A55" s="819" t="s">
        <v>703</v>
      </c>
      <c r="B55" s="829"/>
      <c r="C55" s="688">
        <f ca="1">C25*'EF ele_warmte'!B12</f>
        <v>139.56870459283564</v>
      </c>
      <c r="D55" s="688"/>
      <c r="E55" s="688">
        <f>E25*EF_CO2_aardgas</f>
        <v>591.66522170200005</v>
      </c>
      <c r="F55" s="688"/>
      <c r="G55" s="688"/>
      <c r="H55" s="688"/>
      <c r="I55" s="688"/>
      <c r="J55" s="688"/>
      <c r="K55" s="688"/>
      <c r="L55" s="688"/>
      <c r="M55" s="688"/>
      <c r="N55" s="688"/>
      <c r="O55" s="688"/>
      <c r="P55" s="688"/>
      <c r="Q55" s="689"/>
      <c r="R55" s="717">
        <f ca="1">SUM(C55:Q55)</f>
        <v>731.23392629483567</v>
      </c>
    </row>
    <row r="56" spans="1:18" ht="15.75" thickBot="1">
      <c r="A56" s="817" t="s">
        <v>704</v>
      </c>
      <c r="B56" s="830"/>
      <c r="C56" s="718">
        <f ca="1">SUM(C54:C55)</f>
        <v>1961.9697888730009</v>
      </c>
      <c r="D56" s="718">
        <f t="shared" ref="D56:Q56" ca="1" si="7">SUM(D54:D55)</f>
        <v>0</v>
      </c>
      <c r="E56" s="718">
        <f t="shared" si="7"/>
        <v>746.46459017579207</v>
      </c>
      <c r="F56" s="718">
        <f t="shared" si="7"/>
        <v>82.850856985561336</v>
      </c>
      <c r="G56" s="718">
        <f t="shared" si="7"/>
        <v>8477.8743908133183</v>
      </c>
      <c r="H56" s="718">
        <f t="shared" si="7"/>
        <v>0</v>
      </c>
      <c r="I56" s="718">
        <f t="shared" si="7"/>
        <v>0</v>
      </c>
      <c r="J56" s="718">
        <f t="shared" si="7"/>
        <v>0</v>
      </c>
      <c r="K56" s="718">
        <f t="shared" si="7"/>
        <v>909.46058017975133</v>
      </c>
      <c r="L56" s="718">
        <f t="shared" si="7"/>
        <v>0</v>
      </c>
      <c r="M56" s="718">
        <f t="shared" si="7"/>
        <v>0</v>
      </c>
      <c r="N56" s="718">
        <f t="shared" si="7"/>
        <v>0</v>
      </c>
      <c r="O56" s="718">
        <f t="shared" si="7"/>
        <v>0</v>
      </c>
      <c r="P56" s="718">
        <f t="shared" si="7"/>
        <v>0</v>
      </c>
      <c r="Q56" s="719">
        <f t="shared" si="7"/>
        <v>0</v>
      </c>
      <c r="R56" s="720">
        <f ca="1">SUM(R54:R55)</f>
        <v>12178.620207027425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17231.0593148138</v>
      </c>
      <c r="D61" s="726">
        <f t="shared" ref="D61:Q61" ca="1" si="8">D46+D52+D56</f>
        <v>0</v>
      </c>
      <c r="E61" s="726">
        <f t="shared" ca="1" si="8"/>
        <v>18322.112113744908</v>
      </c>
      <c r="F61" s="726">
        <f t="shared" si="8"/>
        <v>596.8346700040388</v>
      </c>
      <c r="G61" s="726">
        <f t="shared" ca="1" si="8"/>
        <v>23652.444040498325</v>
      </c>
      <c r="H61" s="726">
        <f t="shared" si="8"/>
        <v>28220.52852417648</v>
      </c>
      <c r="I61" s="726">
        <f t="shared" si="8"/>
        <v>6200.3827492698829</v>
      </c>
      <c r="J61" s="726">
        <f t="shared" si="8"/>
        <v>0</v>
      </c>
      <c r="K61" s="726">
        <f t="shared" si="8"/>
        <v>983.35027334677523</v>
      </c>
      <c r="L61" s="726">
        <f t="shared" si="8"/>
        <v>0</v>
      </c>
      <c r="M61" s="726">
        <f t="shared" ca="1" si="8"/>
        <v>0</v>
      </c>
      <c r="N61" s="726">
        <f t="shared" si="8"/>
        <v>0</v>
      </c>
      <c r="O61" s="726">
        <f t="shared" ca="1" si="8"/>
        <v>0</v>
      </c>
      <c r="P61" s="726">
        <f t="shared" si="8"/>
        <v>0</v>
      </c>
      <c r="Q61" s="726">
        <f t="shared" si="8"/>
        <v>0</v>
      </c>
      <c r="R61" s="726">
        <f ca="1">R46+R52+R56</f>
        <v>95206.711685854214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0.1862090665546848</v>
      </c>
      <c r="D63" s="772">
        <f t="shared" ca="1" si="9"/>
        <v>0</v>
      </c>
      <c r="E63" s="964">
        <f t="shared" ca="1" si="9"/>
        <v>0.20199999999999996</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2984.1161810081367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9694.7316390150027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187.64999999999998</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220.76470588235293</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1701</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4860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14567.49782002314</v>
      </c>
      <c r="C78" s="744">
        <f>SUM(C72:C77)</f>
        <v>0</v>
      </c>
      <c r="D78" s="745">
        <f t="shared" ref="D78:H78" si="10">SUM(D76:D77)</f>
        <v>0</v>
      </c>
      <c r="E78" s="745">
        <f t="shared" si="10"/>
        <v>0</v>
      </c>
      <c r="F78" s="745">
        <f t="shared" si="10"/>
        <v>0</v>
      </c>
      <c r="G78" s="745">
        <f t="shared" si="10"/>
        <v>0</v>
      </c>
      <c r="H78" s="745">
        <f t="shared" si="10"/>
        <v>0</v>
      </c>
      <c r="I78" s="745">
        <f>SUM(I76:I77)</f>
        <v>0</v>
      </c>
      <c r="J78" s="745">
        <f>SUM(J76:J77)</f>
        <v>5080.7647058823532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268.07142857142856</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315.37815126050418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268.07142857142856</v>
      </c>
      <c r="C90" s="744">
        <f>SUM(C87:C89)</f>
        <v>0</v>
      </c>
      <c r="D90" s="744">
        <f t="shared" ref="D90:H90" si="12">SUM(D87:D89)</f>
        <v>0</v>
      </c>
      <c r="E90" s="744">
        <f t="shared" si="12"/>
        <v>0</v>
      </c>
      <c r="F90" s="744">
        <f t="shared" si="12"/>
        <v>0</v>
      </c>
      <c r="G90" s="744">
        <f t="shared" si="12"/>
        <v>0</v>
      </c>
      <c r="H90" s="744">
        <f t="shared" si="12"/>
        <v>0</v>
      </c>
      <c r="I90" s="744">
        <f>SUM(I87:I89)</f>
        <v>0</v>
      </c>
      <c r="J90" s="744">
        <f>SUM(J87:J89)</f>
        <v>315.37815126050418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27794.550855745219</v>
      </c>
      <c r="C4" s="449">
        <f>huishoudens!C8</f>
        <v>0</v>
      </c>
      <c r="D4" s="449">
        <f>huishoudens!D8</f>
        <v>55478.787357966183</v>
      </c>
      <c r="E4" s="449">
        <f>huishoudens!E8</f>
        <v>1794.0019868419827</v>
      </c>
      <c r="F4" s="449">
        <f>huishoudens!F8</f>
        <v>40748.746935300696</v>
      </c>
      <c r="G4" s="449">
        <f>huishoudens!G8</f>
        <v>0</v>
      </c>
      <c r="H4" s="449">
        <f>huishoudens!H8</f>
        <v>0</v>
      </c>
      <c r="I4" s="449">
        <f>huishoudens!I8</f>
        <v>0</v>
      </c>
      <c r="J4" s="449">
        <f>huishoudens!J8</f>
        <v>203.85910581434521</v>
      </c>
      <c r="K4" s="449">
        <f>huishoudens!K8</f>
        <v>0</v>
      </c>
      <c r="L4" s="449">
        <f>huishoudens!L8</f>
        <v>0</v>
      </c>
      <c r="M4" s="449">
        <f>huishoudens!M8</f>
        <v>0</v>
      </c>
      <c r="N4" s="449">
        <f>huishoudens!N8</f>
        <v>9872.5999023178956</v>
      </c>
      <c r="O4" s="449">
        <f>huishoudens!O8</f>
        <v>497.97351306614496</v>
      </c>
      <c r="P4" s="450">
        <f>huishoudens!P8</f>
        <v>431.89233161508594</v>
      </c>
      <c r="Q4" s="451">
        <f>SUM(B4:P4)</f>
        <v>136822.41198866756</v>
      </c>
    </row>
    <row r="5" spans="1:17">
      <c r="A5" s="448" t="s">
        <v>155</v>
      </c>
      <c r="B5" s="449">
        <f ca="1">tertiair!B16</f>
        <v>28002.601153</v>
      </c>
      <c r="C5" s="449">
        <f ca="1">tertiair!C16</f>
        <v>0</v>
      </c>
      <c r="D5" s="449">
        <f ca="1">tertiair!D16</f>
        <v>22535.305851051002</v>
      </c>
      <c r="E5" s="449">
        <f>tertiair!E16</f>
        <v>159.05306477629603</v>
      </c>
      <c r="F5" s="449">
        <f ca="1">tertiair!F16</f>
        <v>7042.9358178194625</v>
      </c>
      <c r="G5" s="449">
        <f>tertiair!G16</f>
        <v>0</v>
      </c>
      <c r="H5" s="449">
        <f>tertiair!H16</f>
        <v>0</v>
      </c>
      <c r="I5" s="449">
        <f>tertiair!I16</f>
        <v>0</v>
      </c>
      <c r="J5" s="449">
        <f>tertiair!J16</f>
        <v>8.6433640545991383E-2</v>
      </c>
      <c r="K5" s="449">
        <f>tertiair!K16</f>
        <v>0</v>
      </c>
      <c r="L5" s="449">
        <f ca="1">tertiair!L16</f>
        <v>0</v>
      </c>
      <c r="M5" s="449">
        <f>tertiair!M16</f>
        <v>0</v>
      </c>
      <c r="N5" s="449">
        <f ca="1">tertiair!N16</f>
        <v>3145.7462379056842</v>
      </c>
      <c r="O5" s="449">
        <f>tertiair!O16</f>
        <v>14.691782297523464</v>
      </c>
      <c r="P5" s="450">
        <f>tertiair!P16</f>
        <v>105.07827661299004</v>
      </c>
      <c r="Q5" s="448">
        <f t="shared" ref="Q5:Q14" ca="1" si="0">SUM(B5:P5)</f>
        <v>61005.498617103491</v>
      </c>
    </row>
    <row r="6" spans="1:17">
      <c r="A6" s="448" t="s">
        <v>193</v>
      </c>
      <c r="B6" s="449">
        <f>'openbare verlichting'!B8</f>
        <v>1004.223574</v>
      </c>
      <c r="C6" s="449"/>
      <c r="D6" s="449"/>
      <c r="E6" s="449"/>
      <c r="F6" s="449"/>
      <c r="G6" s="449"/>
      <c r="H6" s="449"/>
      <c r="I6" s="449"/>
      <c r="J6" s="449"/>
      <c r="K6" s="449"/>
      <c r="L6" s="449"/>
      <c r="M6" s="449"/>
      <c r="N6" s="449"/>
      <c r="O6" s="449"/>
      <c r="P6" s="450"/>
      <c r="Q6" s="448">
        <f t="shared" si="0"/>
        <v>1004.223574</v>
      </c>
    </row>
    <row r="7" spans="1:17">
      <c r="A7" s="448" t="s">
        <v>111</v>
      </c>
      <c r="B7" s="449">
        <f>landbouw!B8</f>
        <v>9786.8547326881799</v>
      </c>
      <c r="C7" s="449">
        <f>landbouw!C8</f>
        <v>268.07142857142856</v>
      </c>
      <c r="D7" s="449">
        <f>landbouw!D8</f>
        <v>766.33350729600011</v>
      </c>
      <c r="E7" s="449">
        <f>landbouw!E8</f>
        <v>364.98174883507198</v>
      </c>
      <c r="F7" s="449">
        <f>landbouw!F8</f>
        <v>31752.338542371974</v>
      </c>
      <c r="G7" s="449">
        <f>landbouw!G8</f>
        <v>0</v>
      </c>
      <c r="H7" s="449">
        <f>landbouw!H8</f>
        <v>0</v>
      </c>
      <c r="I7" s="449">
        <f>landbouw!I8</f>
        <v>0</v>
      </c>
      <c r="J7" s="449">
        <f>landbouw!J8</f>
        <v>2569.0976841235915</v>
      </c>
      <c r="K7" s="449">
        <f>landbouw!K8</f>
        <v>0</v>
      </c>
      <c r="L7" s="449">
        <f>landbouw!L8</f>
        <v>0</v>
      </c>
      <c r="M7" s="449">
        <f>landbouw!M8</f>
        <v>0</v>
      </c>
      <c r="N7" s="449">
        <f>landbouw!N8</f>
        <v>0</v>
      </c>
      <c r="O7" s="449">
        <f>landbouw!O8</f>
        <v>0</v>
      </c>
      <c r="P7" s="450">
        <f>landbouw!P8</f>
        <v>0</v>
      </c>
      <c r="Q7" s="448">
        <f t="shared" si="0"/>
        <v>45507.677643886243</v>
      </c>
    </row>
    <row r="8" spans="1:17">
      <c r="A8" s="448" t="s">
        <v>618</v>
      </c>
      <c r="B8" s="449">
        <f>industrie!B18</f>
        <v>24948.636845000001</v>
      </c>
      <c r="C8" s="449">
        <f>industrie!C18</f>
        <v>0</v>
      </c>
      <c r="D8" s="449">
        <f>industrie!D18</f>
        <v>8584.2196832699992</v>
      </c>
      <c r="E8" s="449">
        <f>industrie!E18</f>
        <v>85.476256942851251</v>
      </c>
      <c r="F8" s="449">
        <f>industrie!F18</f>
        <v>9041.9114404566371</v>
      </c>
      <c r="G8" s="449">
        <f>industrie!G18</f>
        <v>0</v>
      </c>
      <c r="H8" s="449">
        <f>industrie!H18</f>
        <v>0</v>
      </c>
      <c r="I8" s="449">
        <f>industrie!I18</f>
        <v>0</v>
      </c>
      <c r="J8" s="449">
        <f>industrie!J18</f>
        <v>4.7824073446112276</v>
      </c>
      <c r="K8" s="449">
        <f>industrie!K18</f>
        <v>0</v>
      </c>
      <c r="L8" s="449">
        <f>industrie!L18</f>
        <v>0</v>
      </c>
      <c r="M8" s="449">
        <f>industrie!M18</f>
        <v>0</v>
      </c>
      <c r="N8" s="449">
        <f>industrie!N18</f>
        <v>835.11582276255001</v>
      </c>
      <c r="O8" s="449">
        <f>industrie!O18</f>
        <v>0</v>
      </c>
      <c r="P8" s="450">
        <f>industrie!P18</f>
        <v>0</v>
      </c>
      <c r="Q8" s="448">
        <f t="shared" si="0"/>
        <v>43500.142455776644</v>
      </c>
    </row>
    <row r="9" spans="1:17" s="454" customFormat="1">
      <c r="A9" s="452" t="s">
        <v>544</v>
      </c>
      <c r="B9" s="453">
        <f>transport!B14</f>
        <v>224.8938775496718</v>
      </c>
      <c r="C9" s="453">
        <f>transport!C14</f>
        <v>0</v>
      </c>
      <c r="D9" s="453">
        <f>transport!D14</f>
        <v>409.84316498568012</v>
      </c>
      <c r="E9" s="453">
        <f>transport!E14</f>
        <v>225.71456376696435</v>
      </c>
      <c r="F9" s="453">
        <f>transport!F14</f>
        <v>0</v>
      </c>
      <c r="G9" s="453">
        <f>transport!G14</f>
        <v>103924.3938913079</v>
      </c>
      <c r="H9" s="453">
        <f>transport!H14</f>
        <v>24901.135539236479</v>
      </c>
      <c r="I9" s="453">
        <f>transport!I14</f>
        <v>0</v>
      </c>
      <c r="J9" s="453">
        <f>transport!J14</f>
        <v>0</v>
      </c>
      <c r="K9" s="453">
        <f>transport!K14</f>
        <v>0</v>
      </c>
      <c r="L9" s="453">
        <f>transport!L14</f>
        <v>0</v>
      </c>
      <c r="M9" s="453">
        <f>transport!M14</f>
        <v>7582.12508267668</v>
      </c>
      <c r="N9" s="453">
        <f>transport!N14</f>
        <v>0</v>
      </c>
      <c r="O9" s="453">
        <f>transport!O14</f>
        <v>0</v>
      </c>
      <c r="P9" s="453">
        <f>transport!P14</f>
        <v>0</v>
      </c>
      <c r="Q9" s="452">
        <f>SUM(B9:P9)</f>
        <v>137268.10611952338</v>
      </c>
    </row>
    <row r="10" spans="1:17">
      <c r="A10" s="448" t="s">
        <v>534</v>
      </c>
      <c r="B10" s="449">
        <f>transport!B54</f>
        <v>24.804065717903121</v>
      </c>
      <c r="C10" s="449">
        <f>transport!C54</f>
        <v>0</v>
      </c>
      <c r="D10" s="449">
        <f>transport!D54</f>
        <v>0</v>
      </c>
      <c r="E10" s="449">
        <f>transport!E54</f>
        <v>0</v>
      </c>
      <c r="F10" s="449">
        <f>transport!F54</f>
        <v>0</v>
      </c>
      <c r="G10" s="449">
        <f>transport!G54</f>
        <v>1770.4694951208471</v>
      </c>
      <c r="H10" s="449">
        <f>transport!H54</f>
        <v>0</v>
      </c>
      <c r="I10" s="449">
        <f>transport!I54</f>
        <v>0</v>
      </c>
      <c r="J10" s="449">
        <f>transport!J54</f>
        <v>0</v>
      </c>
      <c r="K10" s="449">
        <f>transport!K54</f>
        <v>0</v>
      </c>
      <c r="L10" s="449">
        <f>transport!L54</f>
        <v>0</v>
      </c>
      <c r="M10" s="449">
        <f>transport!M54</f>
        <v>97.762835970514288</v>
      </c>
      <c r="N10" s="449">
        <f>transport!N54</f>
        <v>0</v>
      </c>
      <c r="O10" s="449">
        <f>transport!O54</f>
        <v>0</v>
      </c>
      <c r="P10" s="450">
        <f>transport!P54</f>
        <v>0</v>
      </c>
      <c r="Q10" s="448">
        <f t="shared" si="0"/>
        <v>1893.0363968092645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749.52690099999995</v>
      </c>
      <c r="C14" s="456"/>
      <c r="D14" s="456">
        <f>'SEAP template'!E25</f>
        <v>2929.0357510000003</v>
      </c>
      <c r="E14" s="456"/>
      <c r="F14" s="456"/>
      <c r="G14" s="456"/>
      <c r="H14" s="456"/>
      <c r="I14" s="456"/>
      <c r="J14" s="456"/>
      <c r="K14" s="456"/>
      <c r="L14" s="456"/>
      <c r="M14" s="456"/>
      <c r="N14" s="456"/>
      <c r="O14" s="456"/>
      <c r="P14" s="457"/>
      <c r="Q14" s="448">
        <f t="shared" si="0"/>
        <v>3678.5626520000005</v>
      </c>
    </row>
    <row r="15" spans="1:17" s="460" customFormat="1">
      <c r="A15" s="458" t="s">
        <v>538</v>
      </c>
      <c r="B15" s="459">
        <f ca="1">SUM(B4:B14)</f>
        <v>92536.092004701</v>
      </c>
      <c r="C15" s="459">
        <f t="shared" ref="C15:Q15" ca="1" si="1">SUM(C4:C14)</f>
        <v>268.07142857142856</v>
      </c>
      <c r="D15" s="459">
        <f t="shared" ca="1" si="1"/>
        <v>90703.52531556887</v>
      </c>
      <c r="E15" s="459">
        <f t="shared" si="1"/>
        <v>2629.2276211631661</v>
      </c>
      <c r="F15" s="459">
        <f t="shared" ca="1" si="1"/>
        <v>88585.932735948765</v>
      </c>
      <c r="G15" s="459">
        <f t="shared" si="1"/>
        <v>105694.86338642875</v>
      </c>
      <c r="H15" s="459">
        <f t="shared" si="1"/>
        <v>24901.135539236479</v>
      </c>
      <c r="I15" s="459">
        <f t="shared" si="1"/>
        <v>0</v>
      </c>
      <c r="J15" s="459">
        <f t="shared" si="1"/>
        <v>2777.8256309230942</v>
      </c>
      <c r="K15" s="459">
        <f t="shared" si="1"/>
        <v>0</v>
      </c>
      <c r="L15" s="459">
        <f t="shared" ca="1" si="1"/>
        <v>0</v>
      </c>
      <c r="M15" s="459">
        <f t="shared" si="1"/>
        <v>7679.8879186471941</v>
      </c>
      <c r="N15" s="459">
        <f t="shared" ca="1" si="1"/>
        <v>13853.46196298613</v>
      </c>
      <c r="O15" s="459">
        <f t="shared" si="1"/>
        <v>512.66529536366841</v>
      </c>
      <c r="P15" s="459">
        <f t="shared" si="1"/>
        <v>536.970608228076</v>
      </c>
      <c r="Q15" s="459">
        <f t="shared" ca="1" si="1"/>
        <v>430679.65944776661</v>
      </c>
    </row>
    <row r="17" spans="1:17">
      <c r="A17" s="461" t="s">
        <v>539</v>
      </c>
      <c r="B17" s="777">
        <f ca="1">huishoudens!B10</f>
        <v>0.1862090665546848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5175.5973701550329</v>
      </c>
      <c r="C22" s="449">
        <f t="shared" ref="C22:C32" ca="1" si="3">C4*$C$17</f>
        <v>0</v>
      </c>
      <c r="D22" s="449">
        <f t="shared" ref="D22:D32" si="4">D4*$D$17</f>
        <v>11206.715046309169</v>
      </c>
      <c r="E22" s="449">
        <f t="shared" ref="E22:E32" si="5">E4*$E$17</f>
        <v>407.23845101313009</v>
      </c>
      <c r="F22" s="449">
        <f t="shared" ref="F22:F32" si="6">F4*$F$17</f>
        <v>10879.915431725287</v>
      </c>
      <c r="G22" s="449">
        <f t="shared" ref="G22:G32" si="7">G4*$G$17</f>
        <v>0</v>
      </c>
      <c r="H22" s="449">
        <f t="shared" ref="H22:H32" si="8">H4*$H$17</f>
        <v>0</v>
      </c>
      <c r="I22" s="449">
        <f t="shared" ref="I22:I32" si="9">I4*$I$17</f>
        <v>0</v>
      </c>
      <c r="J22" s="449">
        <f t="shared" ref="J22:J32" si="10">J4*$J$17</f>
        <v>72.166123458278207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27741.632422660899</v>
      </c>
    </row>
    <row r="23" spans="1:17">
      <c r="A23" s="448" t="s">
        <v>155</v>
      </c>
      <c r="B23" s="449">
        <f t="shared" ca="1" si="2"/>
        <v>5214.3382218032702</v>
      </c>
      <c r="C23" s="449">
        <f t="shared" ca="1" si="3"/>
        <v>0</v>
      </c>
      <c r="D23" s="449">
        <f t="shared" ca="1" si="4"/>
        <v>4552.1317819123024</v>
      </c>
      <c r="E23" s="449">
        <f t="shared" si="5"/>
        <v>36.105045704219201</v>
      </c>
      <c r="F23" s="449">
        <f t="shared" ca="1" si="6"/>
        <v>1880.4638633577965</v>
      </c>
      <c r="G23" s="449">
        <f t="shared" si="7"/>
        <v>0</v>
      </c>
      <c r="H23" s="449">
        <f t="shared" si="8"/>
        <v>0</v>
      </c>
      <c r="I23" s="449">
        <f t="shared" si="9"/>
        <v>0</v>
      </c>
      <c r="J23" s="449">
        <f t="shared" si="10"/>
        <v>3.0597508753280947E-2</v>
      </c>
      <c r="K23" s="449">
        <f t="shared" si="11"/>
        <v>0</v>
      </c>
      <c r="L23" s="449">
        <f t="shared" ca="1" si="12"/>
        <v>0</v>
      </c>
      <c r="M23" s="449">
        <f t="shared" si="13"/>
        <v>0</v>
      </c>
      <c r="N23" s="449">
        <f t="shared" ca="1" si="14"/>
        <v>0</v>
      </c>
      <c r="O23" s="449">
        <f t="shared" si="15"/>
        <v>0</v>
      </c>
      <c r="P23" s="450">
        <f t="shared" si="16"/>
        <v>0</v>
      </c>
      <c r="Q23" s="448">
        <f t="shared" ref="Q23:Q31" ca="1" si="17">SUM(B23:P23)</f>
        <v>11683.069510286341</v>
      </c>
    </row>
    <row r="24" spans="1:17">
      <c r="A24" s="448" t="s">
        <v>193</v>
      </c>
      <c r="B24" s="449">
        <f t="shared" ca="1" si="2"/>
        <v>186.99553432674944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186.99553432674944</v>
      </c>
    </row>
    <row r="25" spans="1:17">
      <c r="A25" s="448" t="s">
        <v>111</v>
      </c>
      <c r="B25" s="449">
        <f t="shared" ca="1" si="2"/>
        <v>1822.4010842801652</v>
      </c>
      <c r="C25" s="449">
        <f t="shared" ca="1" si="3"/>
        <v>0</v>
      </c>
      <c r="D25" s="449">
        <f t="shared" si="4"/>
        <v>154.79936847379204</v>
      </c>
      <c r="E25" s="449">
        <f t="shared" si="5"/>
        <v>82.850856985561336</v>
      </c>
      <c r="F25" s="449">
        <f t="shared" si="6"/>
        <v>8477.8743908133183</v>
      </c>
      <c r="G25" s="449">
        <f t="shared" si="7"/>
        <v>0</v>
      </c>
      <c r="H25" s="449">
        <f t="shared" si="8"/>
        <v>0</v>
      </c>
      <c r="I25" s="449">
        <f t="shared" si="9"/>
        <v>0</v>
      </c>
      <c r="J25" s="449">
        <f t="shared" si="10"/>
        <v>909.46058017975133</v>
      </c>
      <c r="K25" s="449">
        <f t="shared" si="11"/>
        <v>0</v>
      </c>
      <c r="L25" s="449">
        <f t="shared" si="12"/>
        <v>0</v>
      </c>
      <c r="M25" s="449">
        <f t="shared" si="13"/>
        <v>0</v>
      </c>
      <c r="N25" s="449">
        <f t="shared" si="14"/>
        <v>0</v>
      </c>
      <c r="O25" s="449">
        <f t="shared" si="15"/>
        <v>0</v>
      </c>
      <c r="P25" s="450">
        <f t="shared" si="16"/>
        <v>0</v>
      </c>
      <c r="Q25" s="448">
        <f t="shared" ca="1" si="17"/>
        <v>11447.38628073259</v>
      </c>
    </row>
    <row r="26" spans="1:17">
      <c r="A26" s="448" t="s">
        <v>618</v>
      </c>
      <c r="B26" s="449">
        <f t="shared" ca="1" si="2"/>
        <v>4645.6623787192666</v>
      </c>
      <c r="C26" s="449">
        <f t="shared" ca="1" si="3"/>
        <v>0</v>
      </c>
      <c r="D26" s="449">
        <f t="shared" si="4"/>
        <v>1734.0123760205399</v>
      </c>
      <c r="E26" s="449">
        <f t="shared" si="5"/>
        <v>19.403110326027235</v>
      </c>
      <c r="F26" s="449">
        <f t="shared" si="6"/>
        <v>2414.1903546019221</v>
      </c>
      <c r="G26" s="449">
        <f t="shared" si="7"/>
        <v>0</v>
      </c>
      <c r="H26" s="449">
        <f t="shared" si="8"/>
        <v>0</v>
      </c>
      <c r="I26" s="449">
        <f t="shared" si="9"/>
        <v>0</v>
      </c>
      <c r="J26" s="449">
        <f t="shared" si="10"/>
        <v>1.6929721999923746</v>
      </c>
      <c r="K26" s="449">
        <f t="shared" si="11"/>
        <v>0</v>
      </c>
      <c r="L26" s="449">
        <f t="shared" si="12"/>
        <v>0</v>
      </c>
      <c r="M26" s="449">
        <f t="shared" si="13"/>
        <v>0</v>
      </c>
      <c r="N26" s="449">
        <f t="shared" si="14"/>
        <v>0</v>
      </c>
      <c r="O26" s="449">
        <f t="shared" si="15"/>
        <v>0</v>
      </c>
      <c r="P26" s="450">
        <f t="shared" si="16"/>
        <v>0</v>
      </c>
      <c r="Q26" s="448">
        <f t="shared" ca="1" si="17"/>
        <v>8814.9611918677492</v>
      </c>
    </row>
    <row r="27" spans="1:17" s="454" customFormat="1">
      <c r="A27" s="452" t="s">
        <v>544</v>
      </c>
      <c r="B27" s="771">
        <f t="shared" ca="1" si="2"/>
        <v>41.877279012387973</v>
      </c>
      <c r="C27" s="453">
        <f t="shared" ca="1" si="3"/>
        <v>0</v>
      </c>
      <c r="D27" s="453">
        <f t="shared" si="4"/>
        <v>82.788319327107388</v>
      </c>
      <c r="E27" s="453">
        <f t="shared" si="5"/>
        <v>51.237205975100906</v>
      </c>
      <c r="F27" s="453">
        <f t="shared" si="6"/>
        <v>0</v>
      </c>
      <c r="G27" s="453">
        <f t="shared" si="7"/>
        <v>27747.813168979214</v>
      </c>
      <c r="H27" s="453">
        <f t="shared" si="8"/>
        <v>6200.3827492698829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34124.098722563693</v>
      </c>
    </row>
    <row r="28" spans="1:17" ht="16.5" customHeight="1">
      <c r="A28" s="448" t="s">
        <v>534</v>
      </c>
      <c r="B28" s="449">
        <f t="shared" ca="1" si="2"/>
        <v>4.6187419240917977</v>
      </c>
      <c r="C28" s="449">
        <f t="shared" ca="1" si="3"/>
        <v>0</v>
      </c>
      <c r="D28" s="449">
        <f t="shared" si="4"/>
        <v>0</v>
      </c>
      <c r="E28" s="449">
        <f t="shared" si="5"/>
        <v>0</v>
      </c>
      <c r="F28" s="449">
        <f t="shared" si="6"/>
        <v>0</v>
      </c>
      <c r="G28" s="449">
        <f t="shared" si="7"/>
        <v>472.71535519726621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477.33409712135801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139.56870459283564</v>
      </c>
      <c r="C32" s="449">
        <f t="shared" ca="1" si="3"/>
        <v>0</v>
      </c>
      <c r="D32" s="449">
        <f t="shared" si="4"/>
        <v>591.66522170200005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731.23392629483567</v>
      </c>
    </row>
    <row r="33" spans="1:17" s="460" customFormat="1">
      <c r="A33" s="458" t="s">
        <v>538</v>
      </c>
      <c r="B33" s="459">
        <f ca="1">SUM(B22:B32)</f>
        <v>17231.0593148138</v>
      </c>
      <c r="C33" s="459">
        <f t="shared" ref="C33:Q33" ca="1" si="19">SUM(C22:C32)</f>
        <v>0</v>
      </c>
      <c r="D33" s="459">
        <f t="shared" ca="1" si="19"/>
        <v>18322.112113744908</v>
      </c>
      <c r="E33" s="459">
        <f t="shared" si="19"/>
        <v>596.83467000403868</v>
      </c>
      <c r="F33" s="459">
        <f t="shared" ca="1" si="19"/>
        <v>23652.444040498325</v>
      </c>
      <c r="G33" s="459">
        <f t="shared" si="19"/>
        <v>28220.52852417648</v>
      </c>
      <c r="H33" s="459">
        <f t="shared" si="19"/>
        <v>6200.3827492698829</v>
      </c>
      <c r="I33" s="459">
        <f t="shared" si="19"/>
        <v>0</v>
      </c>
      <c r="J33" s="459">
        <f t="shared" si="19"/>
        <v>983.35027334677523</v>
      </c>
      <c r="K33" s="459">
        <f t="shared" si="19"/>
        <v>0</v>
      </c>
      <c r="L33" s="459">
        <f t="shared" ca="1" si="19"/>
        <v>0</v>
      </c>
      <c r="M33" s="459">
        <f t="shared" si="19"/>
        <v>0</v>
      </c>
      <c r="N33" s="459">
        <f t="shared" ca="1" si="19"/>
        <v>0</v>
      </c>
      <c r="O33" s="459">
        <f t="shared" si="19"/>
        <v>0</v>
      </c>
      <c r="P33" s="459">
        <f t="shared" si="19"/>
        <v>0</v>
      </c>
      <c r="Q33" s="459">
        <f t="shared" ca="1" si="19"/>
        <v>95206.711685854229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2984.1161810081367</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9694.7316390150027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187.64999999999998</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220.76470588235293</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1701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4860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14567.49782002314</v>
      </c>
      <c r="C10" s="1017">
        <f>SUM(C4:C9)</f>
        <v>0</v>
      </c>
      <c r="D10" s="1017">
        <f t="shared" ref="D10:H10" si="0">SUM(D8:D9)</f>
        <v>0</v>
      </c>
      <c r="E10" s="1017">
        <f t="shared" si="0"/>
        <v>0</v>
      </c>
      <c r="F10" s="1017">
        <f t="shared" si="0"/>
        <v>0</v>
      </c>
      <c r="G10" s="1017">
        <f t="shared" si="0"/>
        <v>0</v>
      </c>
      <c r="H10" s="1017">
        <f t="shared" si="0"/>
        <v>0</v>
      </c>
      <c r="I10" s="1017">
        <f>SUM(I8:I9)</f>
        <v>0</v>
      </c>
      <c r="J10" s="1017">
        <f>SUM(J8:J9)</f>
        <v>5080.7647058823532</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0.1862090665546848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268.07142857142856</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315.37815126050418</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268.07142857142856</v>
      </c>
      <c r="C20" s="1017">
        <f>SUM(C17:C19)</f>
        <v>0</v>
      </c>
      <c r="D20" s="1017">
        <f t="shared" ref="D20:H20" si="2">SUM(D17:D19)</f>
        <v>0</v>
      </c>
      <c r="E20" s="1017">
        <f t="shared" si="2"/>
        <v>0</v>
      </c>
      <c r="F20" s="1017">
        <f t="shared" si="2"/>
        <v>0</v>
      </c>
      <c r="G20" s="1017">
        <f t="shared" si="2"/>
        <v>0</v>
      </c>
      <c r="H20" s="1017">
        <f t="shared" si="2"/>
        <v>0</v>
      </c>
      <c r="I20" s="1017">
        <f>SUM(I17:I19)</f>
        <v>0</v>
      </c>
      <c r="J20" s="1017">
        <f>SUM(J17:J19)</f>
        <v>315.37815126050418</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0.1862090665546848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0.1862090665546848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0.1862090665546848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7220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12309.78</v>
      </c>
      <c r="C14" s="326"/>
      <c r="D14" s="326"/>
      <c r="E14" s="326"/>
      <c r="F14" s="326"/>
    </row>
    <row r="15" spans="1:6">
      <c r="A15" s="1307" t="s">
        <v>183</v>
      </c>
      <c r="B15" s="1308">
        <v>210</v>
      </c>
      <c r="C15" s="326"/>
      <c r="D15" s="326"/>
      <c r="E15" s="326"/>
      <c r="F15" s="326"/>
    </row>
    <row r="16" spans="1:6">
      <c r="A16" s="1307" t="s">
        <v>6</v>
      </c>
      <c r="B16" s="1308">
        <v>7464</v>
      </c>
      <c r="C16" s="326"/>
      <c r="D16" s="326"/>
      <c r="E16" s="326"/>
      <c r="F16" s="326"/>
    </row>
    <row r="17" spans="1:6">
      <c r="A17" s="1307" t="s">
        <v>7</v>
      </c>
      <c r="B17" s="1308">
        <v>3179</v>
      </c>
      <c r="C17" s="326"/>
      <c r="D17" s="326"/>
      <c r="E17" s="326"/>
      <c r="F17" s="326"/>
    </row>
    <row r="18" spans="1:6">
      <c r="A18" s="1307" t="s">
        <v>8</v>
      </c>
      <c r="B18" s="1308">
        <v>5664</v>
      </c>
      <c r="C18" s="326"/>
      <c r="D18" s="326"/>
      <c r="E18" s="326"/>
      <c r="F18" s="326"/>
    </row>
    <row r="19" spans="1:6">
      <c r="A19" s="1307" t="s">
        <v>9</v>
      </c>
      <c r="B19" s="1308">
        <v>5881</v>
      </c>
      <c r="C19" s="326"/>
      <c r="D19" s="326"/>
      <c r="E19" s="326"/>
      <c r="F19" s="326"/>
    </row>
    <row r="20" spans="1:6">
      <c r="A20" s="1307" t="s">
        <v>10</v>
      </c>
      <c r="B20" s="1308">
        <v>3797</v>
      </c>
      <c r="C20" s="326"/>
      <c r="D20" s="326"/>
      <c r="E20" s="326"/>
      <c r="F20" s="326"/>
    </row>
    <row r="21" spans="1:6">
      <c r="A21" s="1307" t="s">
        <v>11</v>
      </c>
      <c r="B21" s="1308">
        <v>58055</v>
      </c>
      <c r="C21" s="326"/>
      <c r="D21" s="326"/>
      <c r="E21" s="326"/>
      <c r="F21" s="326"/>
    </row>
    <row r="22" spans="1:6">
      <c r="A22" s="1307" t="s">
        <v>12</v>
      </c>
      <c r="B22" s="1308">
        <v>110131</v>
      </c>
      <c r="C22" s="326"/>
      <c r="D22" s="326"/>
      <c r="E22" s="326"/>
      <c r="F22" s="326"/>
    </row>
    <row r="23" spans="1:6">
      <c r="A23" s="1307" t="s">
        <v>13</v>
      </c>
      <c r="B23" s="1308">
        <v>1568</v>
      </c>
      <c r="C23" s="326"/>
      <c r="D23" s="326"/>
      <c r="E23" s="326"/>
      <c r="F23" s="326"/>
    </row>
    <row r="24" spans="1:6">
      <c r="A24" s="1307" t="s">
        <v>14</v>
      </c>
      <c r="B24" s="1308">
        <v>92</v>
      </c>
      <c r="C24" s="326"/>
      <c r="D24" s="326"/>
      <c r="E24" s="326"/>
      <c r="F24" s="326"/>
    </row>
    <row r="25" spans="1:6">
      <c r="A25" s="1307" t="s">
        <v>15</v>
      </c>
      <c r="B25" s="1308">
        <v>12387</v>
      </c>
      <c r="C25" s="326"/>
      <c r="D25" s="326"/>
      <c r="E25" s="326"/>
      <c r="F25" s="326"/>
    </row>
    <row r="26" spans="1:6">
      <c r="A26" s="1307" t="s">
        <v>16</v>
      </c>
      <c r="B26" s="1308">
        <v>1520</v>
      </c>
      <c r="C26" s="326"/>
      <c r="D26" s="326"/>
      <c r="E26" s="326"/>
      <c r="F26" s="326"/>
    </row>
    <row r="27" spans="1:6">
      <c r="A27" s="1307" t="s">
        <v>17</v>
      </c>
      <c r="B27" s="1308">
        <v>14</v>
      </c>
      <c r="C27" s="326"/>
      <c r="D27" s="326"/>
      <c r="E27" s="326"/>
      <c r="F27" s="326"/>
    </row>
    <row r="28" spans="1:6" s="43" customFormat="1">
      <c r="A28" s="1309" t="s">
        <v>18</v>
      </c>
      <c r="B28" s="1310">
        <v>463458</v>
      </c>
      <c r="C28" s="332"/>
      <c r="D28" s="332"/>
      <c r="E28" s="332"/>
      <c r="F28" s="332"/>
    </row>
    <row r="29" spans="1:6">
      <c r="A29" s="1309" t="s">
        <v>688</v>
      </c>
      <c r="B29" s="1310">
        <v>168</v>
      </c>
      <c r="C29" s="332"/>
      <c r="D29" s="332"/>
      <c r="E29" s="332"/>
      <c r="F29" s="332"/>
    </row>
    <row r="30" spans="1:6">
      <c r="A30" s="1302" t="s">
        <v>689</v>
      </c>
      <c r="B30" s="1311">
        <v>32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1195514.1910000001</v>
      </c>
      <c r="E38" s="1308">
        <v>1</v>
      </c>
      <c r="F38" s="1308">
        <v>24499</v>
      </c>
    </row>
    <row r="39" spans="1:6">
      <c r="A39" s="1307" t="s">
        <v>29</v>
      </c>
      <c r="B39" s="1307" t="s">
        <v>30</v>
      </c>
      <c r="C39" s="1308">
        <v>4515</v>
      </c>
      <c r="D39" s="1308">
        <v>61419638.891000196</v>
      </c>
      <c r="E39" s="1308">
        <v>6702</v>
      </c>
      <c r="F39" s="1308">
        <v>22752475.658054188</v>
      </c>
    </row>
    <row r="40" spans="1:6">
      <c r="A40" s="1307" t="s">
        <v>29</v>
      </c>
      <c r="B40" s="1307" t="s">
        <v>28</v>
      </c>
      <c r="C40" s="1308">
        <v>1</v>
      </c>
      <c r="D40" s="1308">
        <v>18663.830999999998</v>
      </c>
      <c r="E40" s="1308">
        <v>1</v>
      </c>
      <c r="F40" s="1308">
        <v>5926.674</v>
      </c>
    </row>
    <row r="41" spans="1:6">
      <c r="A41" s="1307" t="s">
        <v>31</v>
      </c>
      <c r="B41" s="1307" t="s">
        <v>32</v>
      </c>
      <c r="C41" s="1308">
        <v>137</v>
      </c>
      <c r="D41" s="1308">
        <v>5888352.8399999999</v>
      </c>
      <c r="E41" s="1308">
        <v>267</v>
      </c>
      <c r="F41" s="1308">
        <v>14064790.75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21</v>
      </c>
      <c r="D44" s="1308">
        <v>1779817.0830000001</v>
      </c>
      <c r="E44" s="1308">
        <v>51</v>
      </c>
      <c r="F44" s="1308">
        <v>4542758.1320000002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200219.799</v>
      </c>
      <c r="E47" s="1308">
        <v>5</v>
      </c>
      <c r="F47" s="1308">
        <v>314326.33799999999</v>
      </c>
    </row>
    <row r="48" spans="1:6">
      <c r="A48" s="1307" t="s">
        <v>31</v>
      </c>
      <c r="B48" s="1307" t="s">
        <v>28</v>
      </c>
      <c r="C48" s="1308">
        <v>2</v>
      </c>
      <c r="D48" s="1308">
        <v>78231.843999999997</v>
      </c>
      <c r="E48" s="1308">
        <v>4</v>
      </c>
      <c r="F48" s="1308">
        <v>365506.66600000003</v>
      </c>
    </row>
    <row r="49" spans="1:6">
      <c r="A49" s="1307" t="s">
        <v>31</v>
      </c>
      <c r="B49" s="1307" t="s">
        <v>39</v>
      </c>
      <c r="C49" s="1308">
        <v>0</v>
      </c>
      <c r="D49" s="1308">
        <v>0</v>
      </c>
      <c r="E49" s="1308">
        <v>0</v>
      </c>
      <c r="F49" s="1308">
        <v>0</v>
      </c>
    </row>
    <row r="50" spans="1:6">
      <c r="A50" s="1307" t="s">
        <v>31</v>
      </c>
      <c r="B50" s="1307" t="s">
        <v>40</v>
      </c>
      <c r="C50" s="1308">
        <v>17</v>
      </c>
      <c r="D50" s="1308">
        <v>1559712.524</v>
      </c>
      <c r="E50" s="1308">
        <v>30</v>
      </c>
      <c r="F50" s="1308">
        <v>5661254.9589999998</v>
      </c>
    </row>
    <row r="51" spans="1:6">
      <c r="A51" s="1307" t="s">
        <v>41</v>
      </c>
      <c r="B51" s="1307" t="s">
        <v>42</v>
      </c>
      <c r="C51" s="1308">
        <v>39</v>
      </c>
      <c r="D51" s="1308">
        <v>848652.83200000005</v>
      </c>
      <c r="E51" s="1308">
        <v>376</v>
      </c>
      <c r="F51" s="1308">
        <v>9754629.0059999991</v>
      </c>
    </row>
    <row r="52" spans="1:6">
      <c r="A52" s="1307" t="s">
        <v>41</v>
      </c>
      <c r="B52" s="1307" t="s">
        <v>28</v>
      </c>
      <c r="C52" s="1308">
        <v>0</v>
      </c>
      <c r="D52" s="1308">
        <v>0</v>
      </c>
      <c r="E52" s="1308">
        <v>1</v>
      </c>
      <c r="F52" s="1308">
        <v>32225.726688179799</v>
      </c>
    </row>
    <row r="53" spans="1:6">
      <c r="A53" s="1307" t="s">
        <v>43</v>
      </c>
      <c r="B53" s="1307" t="s">
        <v>44</v>
      </c>
      <c r="C53" s="1308">
        <v>75</v>
      </c>
      <c r="D53" s="1308">
        <v>2929035.7510000002</v>
      </c>
      <c r="E53" s="1308">
        <v>164</v>
      </c>
      <c r="F53" s="1308">
        <v>749526.90099999995</v>
      </c>
    </row>
    <row r="54" spans="1:6">
      <c r="A54" s="1307" t="s">
        <v>45</v>
      </c>
      <c r="B54" s="1307" t="s">
        <v>46</v>
      </c>
      <c r="C54" s="1308">
        <v>0</v>
      </c>
      <c r="D54" s="1308">
        <v>0</v>
      </c>
      <c r="E54" s="1308">
        <v>1</v>
      </c>
      <c r="F54" s="1308">
        <v>1004223.574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66</v>
      </c>
      <c r="D57" s="1308">
        <v>3465709.3670000001</v>
      </c>
      <c r="E57" s="1308">
        <v>136</v>
      </c>
      <c r="F57" s="1308">
        <v>8752046.8790000007</v>
      </c>
    </row>
    <row r="58" spans="1:6">
      <c r="A58" s="1307" t="s">
        <v>48</v>
      </c>
      <c r="B58" s="1307" t="s">
        <v>50</v>
      </c>
      <c r="C58" s="1308">
        <v>66</v>
      </c>
      <c r="D58" s="1308">
        <v>2462642.11</v>
      </c>
      <c r="E58" s="1308">
        <v>90</v>
      </c>
      <c r="F58" s="1308">
        <v>1723046.7790000001</v>
      </c>
    </row>
    <row r="59" spans="1:6">
      <c r="A59" s="1307" t="s">
        <v>48</v>
      </c>
      <c r="B59" s="1307" t="s">
        <v>51</v>
      </c>
      <c r="C59" s="1308">
        <v>175</v>
      </c>
      <c r="D59" s="1308">
        <v>5071635.3109999998</v>
      </c>
      <c r="E59" s="1308">
        <v>327</v>
      </c>
      <c r="F59" s="1308">
        <v>9266806.2070000004</v>
      </c>
    </row>
    <row r="60" spans="1:6">
      <c r="A60" s="1307" t="s">
        <v>48</v>
      </c>
      <c r="B60" s="1307" t="s">
        <v>52</v>
      </c>
      <c r="C60" s="1308">
        <v>86</v>
      </c>
      <c r="D60" s="1308">
        <v>5592210.4929999998</v>
      </c>
      <c r="E60" s="1308">
        <v>115</v>
      </c>
      <c r="F60" s="1308">
        <v>2508025.0060000001</v>
      </c>
    </row>
    <row r="61" spans="1:6">
      <c r="A61" s="1307" t="s">
        <v>48</v>
      </c>
      <c r="B61" s="1307" t="s">
        <v>53</v>
      </c>
      <c r="C61" s="1308">
        <v>196</v>
      </c>
      <c r="D61" s="1308">
        <v>8276758.4100000001</v>
      </c>
      <c r="E61" s="1308">
        <v>436</v>
      </c>
      <c r="F61" s="1308">
        <v>4744528.3090000004</v>
      </c>
    </row>
    <row r="62" spans="1:6">
      <c r="A62" s="1307" t="s">
        <v>48</v>
      </c>
      <c r="B62" s="1307" t="s">
        <v>54</v>
      </c>
      <c r="C62" s="1308">
        <v>0</v>
      </c>
      <c r="D62" s="1308">
        <v>0</v>
      </c>
      <c r="E62" s="1308">
        <v>28</v>
      </c>
      <c r="F62" s="1308">
        <v>1008147.973</v>
      </c>
    </row>
    <row r="63" spans="1:6">
      <c r="A63" s="1307" t="s">
        <v>48</v>
      </c>
      <c r="B63" s="1307" t="s">
        <v>28</v>
      </c>
      <c r="C63" s="1308">
        <v>2</v>
      </c>
      <c r="D63" s="1308">
        <v>87086.225999999995</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33103.103000000003</v>
      </c>
      <c r="E65" s="1308">
        <v>0</v>
      </c>
      <c r="F65" s="1308">
        <v>0</v>
      </c>
    </row>
    <row r="66" spans="1:6">
      <c r="A66" s="1307" t="s">
        <v>55</v>
      </c>
      <c r="B66" s="1307" t="s">
        <v>57</v>
      </c>
      <c r="C66" s="1308">
        <v>0</v>
      </c>
      <c r="D66" s="1308">
        <v>0</v>
      </c>
      <c r="E66" s="1308">
        <v>35</v>
      </c>
      <c r="F66" s="1308">
        <v>123451.56200000001</v>
      </c>
    </row>
    <row r="67" spans="1:6">
      <c r="A67" s="1309" t="s">
        <v>55</v>
      </c>
      <c r="B67" s="1309" t="s">
        <v>58</v>
      </c>
      <c r="C67" s="1308">
        <v>0</v>
      </c>
      <c r="D67" s="1308">
        <v>0</v>
      </c>
      <c r="E67" s="1308">
        <v>0</v>
      </c>
      <c r="F67" s="1308">
        <v>0</v>
      </c>
    </row>
    <row r="68" spans="1:6">
      <c r="A68" s="1302" t="s">
        <v>55</v>
      </c>
      <c r="B68" s="1302" t="s">
        <v>59</v>
      </c>
      <c r="C68" s="1311">
        <v>7</v>
      </c>
      <c r="D68" s="1311">
        <v>217390.16399999999</v>
      </c>
      <c r="E68" s="1311">
        <v>21</v>
      </c>
      <c r="F68" s="1311">
        <v>484254.29700000002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131467925</v>
      </c>
      <c r="E73" s="447"/>
      <c r="F73" s="326"/>
    </row>
    <row r="74" spans="1:6">
      <c r="A74" s="1307" t="s">
        <v>63</v>
      </c>
      <c r="B74" s="1307" t="s">
        <v>639</v>
      </c>
      <c r="C74" s="1321" t="s">
        <v>641</v>
      </c>
      <c r="D74" s="1322">
        <v>13152853.143231109</v>
      </c>
      <c r="E74" s="447"/>
      <c r="F74" s="326"/>
    </row>
    <row r="75" spans="1:6">
      <c r="A75" s="1307" t="s">
        <v>64</v>
      </c>
      <c r="B75" s="1307" t="s">
        <v>638</v>
      </c>
      <c r="C75" s="1321" t="s">
        <v>642</v>
      </c>
      <c r="D75" s="1322">
        <v>22722770</v>
      </c>
      <c r="E75" s="447"/>
      <c r="F75" s="326"/>
    </row>
    <row r="76" spans="1:6">
      <c r="A76" s="1307" t="s">
        <v>64</v>
      </c>
      <c r="B76" s="1307" t="s">
        <v>639</v>
      </c>
      <c r="C76" s="1321" t="s">
        <v>643</v>
      </c>
      <c r="D76" s="1322">
        <v>665239.14323110902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524281.71353778202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2984.1161810081367</v>
      </c>
      <c r="C90" s="326"/>
      <c r="D90" s="326"/>
      <c r="E90" s="326"/>
      <c r="F90" s="326"/>
    </row>
    <row r="91" spans="1:6">
      <c r="A91" s="1307" t="s">
        <v>67</v>
      </c>
      <c r="B91" s="1308">
        <v>5036.1485236910357</v>
      </c>
      <c r="C91" s="326"/>
      <c r="D91" s="326"/>
      <c r="E91" s="326"/>
      <c r="F91" s="326"/>
    </row>
    <row r="92" spans="1:6">
      <c r="A92" s="1302" t="s">
        <v>68</v>
      </c>
      <c r="B92" s="1303">
        <v>4658.5831153239669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2561</v>
      </c>
      <c r="C97" s="326"/>
      <c r="D97" s="326"/>
      <c r="E97" s="326"/>
      <c r="F97" s="326"/>
    </row>
    <row r="98" spans="1:6">
      <c r="A98" s="1307" t="s">
        <v>71</v>
      </c>
      <c r="B98" s="1308">
        <v>4</v>
      </c>
      <c r="C98" s="326"/>
      <c r="D98" s="326"/>
      <c r="E98" s="326"/>
      <c r="F98" s="326"/>
    </row>
    <row r="99" spans="1:6">
      <c r="A99" s="1307" t="s">
        <v>72</v>
      </c>
      <c r="B99" s="1308">
        <v>213</v>
      </c>
      <c r="C99" s="326"/>
      <c r="D99" s="326"/>
      <c r="E99" s="326"/>
      <c r="F99" s="326"/>
    </row>
    <row r="100" spans="1:6">
      <c r="A100" s="1307" t="s">
        <v>73</v>
      </c>
      <c r="B100" s="1308">
        <v>556</v>
      </c>
      <c r="C100" s="326"/>
      <c r="D100" s="326"/>
      <c r="E100" s="326"/>
      <c r="F100" s="326"/>
    </row>
    <row r="101" spans="1:6">
      <c r="A101" s="1307" t="s">
        <v>74</v>
      </c>
      <c r="B101" s="1308">
        <v>182</v>
      </c>
      <c r="C101" s="326"/>
      <c r="D101" s="326"/>
      <c r="E101" s="326"/>
      <c r="F101" s="326"/>
    </row>
    <row r="102" spans="1:6">
      <c r="A102" s="1307" t="s">
        <v>75</v>
      </c>
      <c r="B102" s="1308">
        <v>108</v>
      </c>
      <c r="C102" s="326"/>
      <c r="D102" s="326"/>
      <c r="E102" s="326"/>
      <c r="F102" s="326"/>
    </row>
    <row r="103" spans="1:6">
      <c r="A103" s="1307" t="s">
        <v>76</v>
      </c>
      <c r="B103" s="1308">
        <v>282</v>
      </c>
      <c r="C103" s="326"/>
      <c r="D103" s="326"/>
      <c r="E103" s="326"/>
      <c r="F103" s="326"/>
    </row>
    <row r="104" spans="1:6">
      <c r="A104" s="1307" t="s">
        <v>77</v>
      </c>
      <c r="B104" s="1308">
        <v>2006</v>
      </c>
      <c r="C104" s="326"/>
      <c r="D104" s="326"/>
      <c r="E104" s="326"/>
      <c r="F104" s="326"/>
    </row>
    <row r="105" spans="1:6">
      <c r="A105" s="1302" t="s">
        <v>78</v>
      </c>
      <c r="B105" s="1311">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21</v>
      </c>
      <c r="C123" s="1308">
        <v>36</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214</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92536.092004700971</v>
      </c>
      <c r="C3" s="43" t="s">
        <v>169</v>
      </c>
      <c r="D3" s="43"/>
      <c r="E3" s="154"/>
      <c r="F3" s="43"/>
      <c r="G3" s="43"/>
      <c r="H3" s="43"/>
      <c r="I3" s="43"/>
      <c r="J3" s="43"/>
      <c r="K3" s="96"/>
    </row>
    <row r="4" spans="1:11">
      <c r="A4" s="354" t="s">
        <v>170</v>
      </c>
      <c r="B4" s="49">
        <f>IF(ISERROR('SEAP template'!B78+'SEAP template'!C78),0,'SEAP template'!B78+'SEAP template'!C78)</f>
        <v>14567.49782002314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0.1862090665546848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268.07142857142856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1004.223574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1004.223574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0.1862090665546848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186.99553432674944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22758.402332054186</v>
      </c>
      <c r="C5" s="17">
        <f>IF(ISERROR('Eigen informatie GS &amp; warmtenet'!B59),0,'Eigen informatie GS &amp; warmtenet'!B59)</f>
        <v>0</v>
      </c>
      <c r="D5" s="30">
        <f>(SUM(HH_hh_gas_kWh,HH_rest_gas_kWh)/1000)*0.903</f>
        <v>55478.787357966183</v>
      </c>
      <c r="E5" s="17">
        <f>B32*B41</f>
        <v>1794.0019868419827</v>
      </c>
      <c r="F5" s="17">
        <f>B36*B45</f>
        <v>40748.746935300696</v>
      </c>
      <c r="G5" s="18"/>
      <c r="H5" s="17"/>
      <c r="I5" s="17"/>
      <c r="J5" s="17">
        <f>B35*B44+C35*C44</f>
        <v>203.85910581434521</v>
      </c>
      <c r="K5" s="17"/>
      <c r="L5" s="17"/>
      <c r="M5" s="17"/>
      <c r="N5" s="17">
        <f>B34*B43+C34*C43</f>
        <v>9872.5999023178956</v>
      </c>
      <c r="O5" s="17">
        <f>B52*B53*B54</f>
        <v>497.97351306614496</v>
      </c>
      <c r="P5" s="17">
        <f>B60*B61*B62/1000-B60*B61*B62/1000/B63</f>
        <v>431.89233161508594</v>
      </c>
    </row>
    <row r="6" spans="1:16">
      <c r="A6" s="16" t="s">
        <v>604</v>
      </c>
      <c r="B6" s="779">
        <f>kWh_PV_kleiner_dan_10kW</f>
        <v>5036.1485236910357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27794.550855745219</v>
      </c>
      <c r="C8" s="21">
        <f>C5</f>
        <v>0</v>
      </c>
      <c r="D8" s="21">
        <f>D5</f>
        <v>55478.787357966183</v>
      </c>
      <c r="E8" s="21">
        <f>E5</f>
        <v>1794.0019868419827</v>
      </c>
      <c r="F8" s="21">
        <f>F5</f>
        <v>40748.746935300696</v>
      </c>
      <c r="G8" s="21"/>
      <c r="H8" s="21"/>
      <c r="I8" s="21"/>
      <c r="J8" s="21">
        <f>J5</f>
        <v>203.85910581434521</v>
      </c>
      <c r="K8" s="21"/>
      <c r="L8" s="21">
        <f>L5</f>
        <v>0</v>
      </c>
      <c r="M8" s="21">
        <f>M5</f>
        <v>0</v>
      </c>
      <c r="N8" s="21">
        <f>N5</f>
        <v>9872.5999023178956</v>
      </c>
      <c r="O8" s="21">
        <f>O5</f>
        <v>497.97351306614496</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0.1862090665546848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5175.5973701550329</v>
      </c>
      <c r="C12" s="23">
        <f ca="1">C10*C8</f>
        <v>0</v>
      </c>
      <c r="D12" s="23">
        <f>D8*D10</f>
        <v>11206.715046309169</v>
      </c>
      <c r="E12" s="23">
        <f>E10*E8</f>
        <v>407.23845101313009</v>
      </c>
      <c r="F12" s="23">
        <f>F10*F8</f>
        <v>10879.915431725287</v>
      </c>
      <c r="G12" s="23"/>
      <c r="H12" s="23"/>
      <c r="I12" s="23"/>
      <c r="J12" s="23">
        <f>J10*J8</f>
        <v>72.166123458278207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7220</v>
      </c>
      <c r="C26" s="36"/>
      <c r="D26" s="225"/>
    </row>
    <row r="27" spans="1:5" s="15" customFormat="1">
      <c r="A27" s="227" t="s">
        <v>817</v>
      </c>
      <c r="B27" s="37">
        <f>SUM(HH_hh_gas_aantal,HH_rest_gas_aantal)</f>
        <v>4516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4290.2</v>
      </c>
      <c r="C31" s="34" t="s">
        <v>110</v>
      </c>
      <c r="D31" s="171"/>
    </row>
    <row r="32" spans="1:5">
      <c r="A32" s="168" t="s">
        <v>72</v>
      </c>
      <c r="B32" s="33">
        <f>IF((B21*($B$26-($B$27-0.05*$B$27)-$B$60))&lt;0,0,B21*($B$26-($B$27-0.05*$B$27)-$B$60))</f>
        <v>44.462557926753632</v>
      </c>
      <c r="C32" s="34" t="s">
        <v>110</v>
      </c>
      <c r="D32" s="171"/>
    </row>
    <row r="33" spans="1:6">
      <c r="A33" s="168" t="s">
        <v>73</v>
      </c>
      <c r="B33" s="33">
        <f>IF((B22*($B$26-($B$27-0.05*$B$27)-$B$60))&lt;0,0,B22*($B$26-($B$27-0.05*$B$27)-$B$60))</f>
        <v>721.98388166797872</v>
      </c>
      <c r="C33" s="34" t="s">
        <v>110</v>
      </c>
      <c r="D33" s="171"/>
    </row>
    <row r="34" spans="1:6">
      <c r="A34" s="168" t="s">
        <v>74</v>
      </c>
      <c r="B34" s="33">
        <f>IF((B24*($B$26-($B$27-0.05*$B$27)-$B$60))&lt;0,0,B24*($B$26-($B$27-0.05*$B$27)-$B$60))</f>
        <v>138.29468889988974</v>
      </c>
      <c r="C34" s="33">
        <f>B26*C24</f>
        <v>1478.4675589510362</v>
      </c>
      <c r="D34" s="230"/>
    </row>
    <row r="35" spans="1:6">
      <c r="A35" s="168" t="s">
        <v>76</v>
      </c>
      <c r="B35" s="33">
        <f>IF((B19*($B$26-($B$27-0.05*$B$27)-$B$60))&lt;0,0,B19*($B$26-($B$27-0.05*$B$27)-$B$60))</f>
        <v>19.327767929120299</v>
      </c>
      <c r="C35" s="33">
        <f>B35/2</f>
        <v>9.6638839645601493</v>
      </c>
      <c r="D35" s="230"/>
    </row>
    <row r="36" spans="1:6">
      <c r="A36" s="168" t="s">
        <v>77</v>
      </c>
      <c r="B36" s="33">
        <f>IF((B18*($B$26-($B$27-0.05*$B$27)-$B$60))&lt;0,0,B18*($B$26-($B$27-0.05*$B$27)-$B$60))</f>
        <v>1964.7311035762571</v>
      </c>
      <c r="C36" s="34" t="s">
        <v>110</v>
      </c>
      <c r="D36" s="171"/>
    </row>
    <row r="37" spans="1:6">
      <c r="A37" s="168" t="s">
        <v>78</v>
      </c>
      <c r="B37" s="33">
        <f>B60</f>
        <v>41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28002.601153</v>
      </c>
      <c r="C5" s="17">
        <f>IF(ISERROR('Eigen informatie GS &amp; warmtenet'!B60),0,'Eigen informatie GS &amp; warmtenet'!B60)</f>
        <v>0</v>
      </c>
      <c r="D5" s="30">
        <f>SUM(D6:D12)</f>
        <v>22535.305851051002</v>
      </c>
      <c r="E5" s="17">
        <f>SUM(E6:E12)</f>
        <v>159.05306477629603</v>
      </c>
      <c r="F5" s="17">
        <f>SUM(F6:F12)</f>
        <v>7042.9358178194625</v>
      </c>
      <c r="G5" s="18"/>
      <c r="H5" s="17"/>
      <c r="I5" s="17"/>
      <c r="J5" s="17">
        <f>SUM(J6:J12)</f>
        <v>8.6433640545991383E-2</v>
      </c>
      <c r="K5" s="17"/>
      <c r="L5" s="17"/>
      <c r="M5" s="17"/>
      <c r="N5" s="17">
        <f>SUM(N6:N12)</f>
        <v>3145.7462379056842</v>
      </c>
      <c r="O5" s="17">
        <f>B38*B39*B40</f>
        <v>14.691782297523464</v>
      </c>
      <c r="P5" s="17">
        <f>B46*B47*B48/1000-B46*B47*B48/1000/B49</f>
        <v>105.07827661299004</v>
      </c>
      <c r="R5" s="32"/>
    </row>
    <row r="6" spans="1:18">
      <c r="A6" s="32" t="s">
        <v>53</v>
      </c>
      <c r="B6" s="37">
        <f>B26</f>
        <v>4744.5283090000003</v>
      </c>
      <c r="C6" s="33"/>
      <c r="D6" s="37">
        <f>IF(ISERROR(TER_kantoor_gas_kWh/1000),0,TER_kantoor_gas_kWh/1000)*0.903</f>
        <v>7473.9128442300007</v>
      </c>
      <c r="E6" s="33">
        <f>$C$26*'E Balans VL '!I12/100/3.6*1000000</f>
        <v>1.1366762072059877</v>
      </c>
      <c r="F6" s="33">
        <f>$C$26*('E Balans VL '!L12+'E Balans VL '!N12)/100/3.6*1000000</f>
        <v>449.9180469451033</v>
      </c>
      <c r="G6" s="34"/>
      <c r="H6" s="33"/>
      <c r="I6" s="33"/>
      <c r="J6" s="33">
        <f>$C$26*('E Balans VL '!D12+'E Balans VL '!E12)/100/3.6*1000000</f>
        <v>0</v>
      </c>
      <c r="K6" s="33"/>
      <c r="L6" s="33"/>
      <c r="M6" s="33"/>
      <c r="N6" s="33">
        <f>$C$26*'E Balans VL '!Y12/100/3.6*1000000</f>
        <v>2.4099749764329101</v>
      </c>
      <c r="O6" s="33"/>
      <c r="P6" s="33"/>
      <c r="R6" s="32"/>
    </row>
    <row r="7" spans="1:18">
      <c r="A7" s="32" t="s">
        <v>52</v>
      </c>
      <c r="B7" s="37">
        <f t="shared" ref="B7:B12" si="0">B27</f>
        <v>2508.0250059999998</v>
      </c>
      <c r="C7" s="33"/>
      <c r="D7" s="37">
        <f>IF(ISERROR(TER_horeca_gas_kWh/1000),0,TER_horeca_gas_kWh/1000)*0.903</f>
        <v>5049.7660751789999</v>
      </c>
      <c r="E7" s="33">
        <f>$C$27*'E Balans VL '!I9/100/3.6*1000000</f>
        <v>0</v>
      </c>
      <c r="F7" s="33">
        <f>$C$27*('E Balans VL '!L9+'E Balans VL '!N9)/100/3.6*1000000</f>
        <v>205.6521549044584</v>
      </c>
      <c r="G7" s="34"/>
      <c r="H7" s="33"/>
      <c r="I7" s="33"/>
      <c r="J7" s="33">
        <f>$C$27*('E Balans VL '!D9+'E Balans VL '!E9)/100/3.6*1000000</f>
        <v>0</v>
      </c>
      <c r="K7" s="33"/>
      <c r="L7" s="33"/>
      <c r="M7" s="33"/>
      <c r="N7" s="33">
        <f>$C$27*'E Balans VL '!Y9/100/3.6*1000000</f>
        <v>0.76881042939426869</v>
      </c>
      <c r="O7" s="33"/>
      <c r="P7" s="33"/>
      <c r="R7" s="32"/>
    </row>
    <row r="8" spans="1:18">
      <c r="A8" s="6" t="s">
        <v>51</v>
      </c>
      <c r="B8" s="37">
        <f t="shared" si="0"/>
        <v>9266.8062069999996</v>
      </c>
      <c r="C8" s="33"/>
      <c r="D8" s="37">
        <f>IF(ISERROR(TER_handel_gas_kWh/1000),0,TER_handel_gas_kWh/1000)*0.903</f>
        <v>4579.6866858330004</v>
      </c>
      <c r="E8" s="33">
        <f>$C$28*'E Balans VL '!I13/100/3.6*1000000</f>
        <v>32.567759015923741</v>
      </c>
      <c r="F8" s="33">
        <f>$C$28*('E Balans VL '!L13+'E Balans VL '!N13)/100/3.6*1000000</f>
        <v>847.89612630965519</v>
      </c>
      <c r="G8" s="34"/>
      <c r="H8" s="33"/>
      <c r="I8" s="33"/>
      <c r="J8" s="33">
        <f>$C$28*('E Balans VL '!D13+'E Balans VL '!E13)/100/3.6*1000000</f>
        <v>0</v>
      </c>
      <c r="K8" s="33"/>
      <c r="L8" s="33"/>
      <c r="M8" s="33"/>
      <c r="N8" s="33">
        <f>$C$28*'E Balans VL '!Y13/100/3.6*1000000</f>
        <v>3.3560382572375942</v>
      </c>
      <c r="O8" s="33"/>
      <c r="P8" s="33"/>
      <c r="R8" s="32"/>
    </row>
    <row r="9" spans="1:18">
      <c r="A9" s="32" t="s">
        <v>50</v>
      </c>
      <c r="B9" s="37">
        <f t="shared" si="0"/>
        <v>1723.046779</v>
      </c>
      <c r="C9" s="33"/>
      <c r="D9" s="37">
        <f>IF(ISERROR(TER_gezond_gas_kWh/1000),0,TER_gezond_gas_kWh/1000)*0.903</f>
        <v>2223.7658253299996</v>
      </c>
      <c r="E9" s="33">
        <f>$C$29*'E Balans VL '!I10/100/3.6*1000000</f>
        <v>0</v>
      </c>
      <c r="F9" s="33">
        <f>$C$29*('E Balans VL '!L10+'E Balans VL '!N10)/100/3.6*1000000</f>
        <v>211.21389488651366</v>
      </c>
      <c r="G9" s="34"/>
      <c r="H9" s="33"/>
      <c r="I9" s="33"/>
      <c r="J9" s="33">
        <f>$C$29*('E Balans VL '!D10+'E Balans VL '!E10)/100/3.6*1000000</f>
        <v>0</v>
      </c>
      <c r="K9" s="33"/>
      <c r="L9" s="33"/>
      <c r="M9" s="33"/>
      <c r="N9" s="33">
        <f>$C$29*'E Balans VL '!Y10/100/3.6*1000000</f>
        <v>12.706269281645561</v>
      </c>
      <c r="O9" s="33"/>
      <c r="P9" s="33"/>
      <c r="R9" s="32"/>
    </row>
    <row r="10" spans="1:18">
      <c r="A10" s="32" t="s">
        <v>49</v>
      </c>
      <c r="B10" s="37">
        <f t="shared" si="0"/>
        <v>8752.0468790000014</v>
      </c>
      <c r="C10" s="33"/>
      <c r="D10" s="37">
        <f>IF(ISERROR(TER_ander_gas_kWh/1000),0,TER_ander_gas_kWh/1000)*0.903</f>
        <v>3129.5355584009999</v>
      </c>
      <c r="E10" s="33">
        <f>$C$30*'E Balans VL '!I14/100/3.6*1000000</f>
        <v>125.3486295531663</v>
      </c>
      <c r="F10" s="33">
        <f>$C$30*('E Balans VL '!L14+'E Balans VL '!N14)/100/3.6*1000000</f>
        <v>5210.3910912878173</v>
      </c>
      <c r="G10" s="34"/>
      <c r="H10" s="33"/>
      <c r="I10" s="33"/>
      <c r="J10" s="33">
        <f>$C$30*('E Balans VL '!D14+'E Balans VL '!E14)/100/3.6*1000000</f>
        <v>8.6433640545991383E-2</v>
      </c>
      <c r="K10" s="33"/>
      <c r="L10" s="33"/>
      <c r="M10" s="33"/>
      <c r="N10" s="33">
        <f>$C$30*'E Balans VL '!Y14/100/3.6*1000000</f>
        <v>3123.6663160358648</v>
      </c>
      <c r="O10" s="33"/>
      <c r="P10" s="33"/>
      <c r="R10" s="32"/>
    </row>
    <row r="11" spans="1:18">
      <c r="A11" s="32" t="s">
        <v>54</v>
      </c>
      <c r="B11" s="37">
        <f t="shared" si="0"/>
        <v>1008.147973</v>
      </c>
      <c r="C11" s="33"/>
      <c r="D11" s="37">
        <f>IF(ISERROR(TER_onderwijs_gas_kWh/1000),0,TER_onderwijs_gas_kWh/1000)*0.903</f>
        <v>0</v>
      </c>
      <c r="E11" s="33">
        <f>$C$31*'E Balans VL '!I11/100/3.6*1000000</f>
        <v>0</v>
      </c>
      <c r="F11" s="33">
        <f>$C$31*('E Balans VL '!L11+'E Balans VL '!N11)/100/3.6*1000000</f>
        <v>117.86450348591423</v>
      </c>
      <c r="G11" s="34"/>
      <c r="H11" s="33"/>
      <c r="I11" s="33"/>
      <c r="J11" s="33">
        <f>$C$31*('E Balans VL '!D11+'E Balans VL '!E11)/100/3.6*1000000</f>
        <v>0</v>
      </c>
      <c r="K11" s="33"/>
      <c r="L11" s="33"/>
      <c r="M11" s="33"/>
      <c r="N11" s="33">
        <f>$C$31*'E Balans VL '!Y11/100/3.6*1000000</f>
        <v>2.8388289251090515</v>
      </c>
      <c r="O11" s="33"/>
      <c r="P11" s="33"/>
      <c r="R11" s="32"/>
    </row>
    <row r="12" spans="1:18">
      <c r="A12" s="32" t="s">
        <v>255</v>
      </c>
      <c r="B12" s="37">
        <f t="shared" si="0"/>
        <v>0</v>
      </c>
      <c r="C12" s="33"/>
      <c r="D12" s="37">
        <f>IF(ISERROR(TER_rest_gas_kWh/1000),0,TER_rest_gas_kWh/1000)*0.903</f>
        <v>78.638862078000002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28002.601153</v>
      </c>
      <c r="C16" s="21">
        <f t="shared" ca="1" si="1"/>
        <v>0</v>
      </c>
      <c r="D16" s="21">
        <f t="shared" ca="1" si="1"/>
        <v>22535.305851051002</v>
      </c>
      <c r="E16" s="21">
        <f t="shared" si="1"/>
        <v>159.05306477629603</v>
      </c>
      <c r="F16" s="21">
        <f t="shared" ca="1" si="1"/>
        <v>7042.9358178194625</v>
      </c>
      <c r="G16" s="21">
        <f t="shared" si="1"/>
        <v>0</v>
      </c>
      <c r="H16" s="21">
        <f t="shared" si="1"/>
        <v>0</v>
      </c>
      <c r="I16" s="21">
        <f t="shared" si="1"/>
        <v>0</v>
      </c>
      <c r="J16" s="21">
        <f t="shared" si="1"/>
        <v>8.6433640545991383E-2</v>
      </c>
      <c r="K16" s="21">
        <f t="shared" si="1"/>
        <v>0</v>
      </c>
      <c r="L16" s="21">
        <f t="shared" ca="1" si="1"/>
        <v>0</v>
      </c>
      <c r="M16" s="21">
        <f t="shared" si="1"/>
        <v>0</v>
      </c>
      <c r="N16" s="21">
        <f t="shared" ca="1" si="1"/>
        <v>3145.7462379056842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0.1862090665546848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5214.3382218032702</v>
      </c>
      <c r="C20" s="23">
        <f t="shared" ref="C20:P20" ca="1" si="2">C16*C18</f>
        <v>0</v>
      </c>
      <c r="D20" s="23">
        <f t="shared" ca="1" si="2"/>
        <v>4552.1317819123024</v>
      </c>
      <c r="E20" s="23">
        <f t="shared" si="2"/>
        <v>36.105045704219201</v>
      </c>
      <c r="F20" s="23">
        <f t="shared" ca="1" si="2"/>
        <v>1880.4638633577965</v>
      </c>
      <c r="G20" s="23">
        <f t="shared" si="2"/>
        <v>0</v>
      </c>
      <c r="H20" s="23">
        <f t="shared" si="2"/>
        <v>0</v>
      </c>
      <c r="I20" s="23">
        <f t="shared" si="2"/>
        <v>0</v>
      </c>
      <c r="J20" s="23">
        <f t="shared" si="2"/>
        <v>3.0597508753280947E-2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4744.5283090000003</v>
      </c>
      <c r="C26" s="39">
        <f>IF(ISERROR(B26*3.6/1000000/'E Balans VL '!Z12*100),0,B26*3.6/1000000/'E Balans VL '!Z12*100)</f>
        <v>0.13380826246088723</v>
      </c>
      <c r="D26" s="233" t="s">
        <v>691</v>
      </c>
      <c r="F26" s="6"/>
    </row>
    <row r="27" spans="1:18">
      <c r="A27" s="228" t="s">
        <v>52</v>
      </c>
      <c r="B27" s="33">
        <f>IF(ISERROR(TER_horeca_ele_kWh/1000),0,TER_horeca_ele_kWh/1000)</f>
        <v>2508.0250059999998</v>
      </c>
      <c r="C27" s="39">
        <f>IF(ISERROR(B27*3.6/1000000/'E Balans VL '!Z9*100),0,B27*3.6/1000000/'E Balans VL '!Z9*100)</f>
        <v>0.18593924391721575</v>
      </c>
      <c r="D27" s="233" t="s">
        <v>691</v>
      </c>
      <c r="F27" s="6"/>
    </row>
    <row r="28" spans="1:18">
      <c r="A28" s="168" t="s">
        <v>51</v>
      </c>
      <c r="B28" s="33">
        <f>IF(ISERROR(TER_handel_ele_kWh/1000),0,TER_handel_ele_kWh/1000)</f>
        <v>9266.8062069999996</v>
      </c>
      <c r="C28" s="39">
        <f>IF(ISERROR(B28*3.6/1000000/'E Balans VL '!Z13*100),0,B28*3.6/1000000/'E Balans VL '!Z13*100)</f>
        <v>0.27761148130735608</v>
      </c>
      <c r="D28" s="233" t="s">
        <v>691</v>
      </c>
      <c r="F28" s="6"/>
    </row>
    <row r="29" spans="1:18">
      <c r="A29" s="228" t="s">
        <v>50</v>
      </c>
      <c r="B29" s="33">
        <f>IF(ISERROR(TER_gezond_ele_kWh/1000),0,TER_gezond_ele_kWh/1000)</f>
        <v>1723.046779</v>
      </c>
      <c r="C29" s="39">
        <f>IF(ISERROR(B29*3.6/1000000/'E Balans VL '!Z10*100),0,B29*3.6/1000000/'E Balans VL '!Z10*100)</f>
        <v>0.17037554085245177</v>
      </c>
      <c r="D29" s="233" t="s">
        <v>691</v>
      </c>
      <c r="F29" s="6"/>
    </row>
    <row r="30" spans="1:18">
      <c r="A30" s="228" t="s">
        <v>49</v>
      </c>
      <c r="B30" s="33">
        <f>IF(ISERROR(TER_ander_ele_kWh/1000),0,TER_ander_ele_kWh/1000)</f>
        <v>8752.0468790000014</v>
      </c>
      <c r="C30" s="39">
        <f>IF(ISERROR(B30*3.6/1000000/'E Balans VL '!Z14*100),0,B30*3.6/1000000/'E Balans VL '!Z14*100)</f>
        <v>0.35399443227027189</v>
      </c>
      <c r="D30" s="233" t="s">
        <v>691</v>
      </c>
      <c r="F30" s="6"/>
    </row>
    <row r="31" spans="1:18">
      <c r="A31" s="228" t="s">
        <v>54</v>
      </c>
      <c r="B31" s="33">
        <f>IF(ISERROR(TER_onderwijs_ele_kWh/1000),0,TER_onderwijs_ele_kWh/1000)</f>
        <v>1008.147973</v>
      </c>
      <c r="C31" s="39">
        <f>IF(ISERROR(B31*3.6/1000000/'E Balans VL '!Z11*100),0,B31*3.6/1000000/'E Balans VL '!Z11*100)</f>
        <v>0.27698233916777204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24948.636845000001</v>
      </c>
      <c r="C5" s="17">
        <f>IF(ISERROR('Eigen informatie GS &amp; warmtenet'!B61),0,'Eigen informatie GS &amp; warmtenet'!B61)</f>
        <v>0</v>
      </c>
      <c r="D5" s="30">
        <f>SUM(D6:D15)</f>
        <v>8584.2196832699992</v>
      </c>
      <c r="E5" s="17">
        <f>SUM(E6:E15)</f>
        <v>85.476256942851251</v>
      </c>
      <c r="F5" s="17">
        <f>SUM(F6:F15)</f>
        <v>9041.9114404566371</v>
      </c>
      <c r="G5" s="18"/>
      <c r="H5" s="17"/>
      <c r="I5" s="17"/>
      <c r="J5" s="17">
        <f>SUM(J6:J15)</f>
        <v>4.7824073446112276</v>
      </c>
      <c r="K5" s="17"/>
      <c r="L5" s="17"/>
      <c r="M5" s="17"/>
      <c r="N5" s="17">
        <f>SUM(N6:N15)</f>
        <v>835.11582276255001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4542.7581319999999</v>
      </c>
      <c r="C8" s="33"/>
      <c r="D8" s="37">
        <f>IF( ISERROR(IND_metaal_Gas_kWH/1000),0,IND_metaal_Gas_kWH/1000)*0.903</f>
        <v>1607.1748259490003</v>
      </c>
      <c r="E8" s="33">
        <f>C30*'E Balans VL '!I18/100/3.6*1000000</f>
        <v>22.905379118920184</v>
      </c>
      <c r="F8" s="33">
        <f>C30*'E Balans VL '!L18/100/3.6*1000000+C30*'E Balans VL '!N18/100/3.6*1000000</f>
        <v>310.37051848201133</v>
      </c>
      <c r="G8" s="34"/>
      <c r="H8" s="33"/>
      <c r="I8" s="33"/>
      <c r="J8" s="40">
        <f>C30*'E Balans VL '!D18/100/3.6*1000000+C30*'E Balans VL '!E18/100/3.6*1000000</f>
        <v>4.0275425862786491</v>
      </c>
      <c r="K8" s="33"/>
      <c r="L8" s="33"/>
      <c r="M8" s="33"/>
      <c r="N8" s="33">
        <f>C30*'E Balans VL '!Y18/100/3.6*1000000</f>
        <v>60.373282533402126</v>
      </c>
      <c r="O8" s="33"/>
      <c r="P8" s="33"/>
      <c r="R8" s="32"/>
    </row>
    <row r="9" spans="1:18">
      <c r="A9" s="6" t="s">
        <v>32</v>
      </c>
      <c r="B9" s="37">
        <f t="shared" si="0"/>
        <v>14064.79075</v>
      </c>
      <c r="C9" s="33"/>
      <c r="D9" s="37">
        <f>IF( ISERROR(IND_andere_gas_kWh/1000),0,IND_andere_gas_kWh/1000)*0.903</f>
        <v>5317.1826145199993</v>
      </c>
      <c r="E9" s="33">
        <f>C31*'E Balans VL '!I19/100/3.6*1000000</f>
        <v>44.335544563137319</v>
      </c>
      <c r="F9" s="33">
        <f>C31*'E Balans VL '!L19/100/3.6*1000000+C31*'E Balans VL '!N19/100/3.6*1000000</f>
        <v>8609.8733501748648</v>
      </c>
      <c r="G9" s="34"/>
      <c r="H9" s="33"/>
      <c r="I9" s="33"/>
      <c r="J9" s="40">
        <f>C31*'E Balans VL '!D19/100/3.6*1000000+C31*'E Balans VL '!E19/100/3.6*1000000</f>
        <v>0</v>
      </c>
      <c r="K9" s="33"/>
      <c r="L9" s="33"/>
      <c r="M9" s="33"/>
      <c r="N9" s="33">
        <f>C31*'E Balans VL '!Y19/100/3.6*1000000</f>
        <v>589.75577361382148</v>
      </c>
      <c r="O9" s="33"/>
      <c r="P9" s="33"/>
      <c r="R9" s="32"/>
    </row>
    <row r="10" spans="1:18">
      <c r="A10" s="6" t="s">
        <v>40</v>
      </c>
      <c r="B10" s="37">
        <f t="shared" si="0"/>
        <v>5661.2549589999999</v>
      </c>
      <c r="C10" s="33"/>
      <c r="D10" s="37">
        <f>IF( ISERROR(IND_voed_gas_kWh/1000),0,IND_voed_gas_kWh/1000)*0.903</f>
        <v>1408.4204091720001</v>
      </c>
      <c r="E10" s="33">
        <f>C32*'E Balans VL '!I20/100/3.6*1000000</f>
        <v>9.0224504796548981</v>
      </c>
      <c r="F10" s="33">
        <f>C32*'E Balans VL '!L20/100/3.6*1000000+C32*'E Balans VL '!N20/100/3.6*1000000</f>
        <v>91.981640336524038</v>
      </c>
      <c r="G10" s="34"/>
      <c r="H10" s="33"/>
      <c r="I10" s="33"/>
      <c r="J10" s="40">
        <f>C32*'E Balans VL '!D20/100/3.6*1000000+C32*'E Balans VL '!E20/100/3.6*1000000</f>
        <v>0</v>
      </c>
      <c r="K10" s="33"/>
      <c r="L10" s="33"/>
      <c r="M10" s="33"/>
      <c r="N10" s="33">
        <f>C32*'E Balans VL '!Y20/100/3.6*1000000</f>
        <v>178.81070601802696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314.32633799999996</v>
      </c>
      <c r="C13" s="33"/>
      <c r="D13" s="37">
        <f>IF( ISERROR(IND_papier_gas_kWh/1000),0,IND_papier_gas_kWh/1000)*0.903</f>
        <v>180.79847849699999</v>
      </c>
      <c r="E13" s="33">
        <f>C35*'E Balans VL '!I23/100/3.6*1000000</f>
        <v>0</v>
      </c>
      <c r="F13" s="33">
        <f>C35*'E Balans VL '!L23/100/3.6*1000000+C35*'E Balans VL '!N23/100/3.6*1000000</f>
        <v>1.3618078541868623E-2</v>
      </c>
      <c r="G13" s="34"/>
      <c r="H13" s="33"/>
      <c r="I13" s="33"/>
      <c r="J13" s="40">
        <f>C35*'E Balans VL '!D23/100/3.6*1000000+C35*'E Balans VL '!E23/100/3.6*1000000</f>
        <v>8.6611897165738954E-3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365.50666600000005</v>
      </c>
      <c r="C15" s="33"/>
      <c r="D15" s="37">
        <f>IF( ISERROR(IND_rest_gas_kWh/1000),0,IND_rest_gas_kWh/1000)*0.903</f>
        <v>70.643355131999996</v>
      </c>
      <c r="E15" s="33">
        <f>C37*'E Balans VL '!I15/100/3.6*1000000</f>
        <v>9.2128827811388661</v>
      </c>
      <c r="F15" s="33">
        <f>C37*'E Balans VL '!L15/100/3.6*1000000+C37*'E Balans VL '!N15/100/3.6*1000000</f>
        <v>29.672313384694608</v>
      </c>
      <c r="G15" s="34"/>
      <c r="H15" s="33"/>
      <c r="I15" s="33"/>
      <c r="J15" s="40">
        <f>C37*'E Balans VL '!D15/100/3.6*1000000+C37*'E Balans VL '!E15/100/3.6*1000000</f>
        <v>0.74620356861600468</v>
      </c>
      <c r="K15" s="33"/>
      <c r="L15" s="33"/>
      <c r="M15" s="33"/>
      <c r="N15" s="33">
        <f>C37*'E Balans VL '!Y15/100/3.6*1000000</f>
        <v>6.1760605972994176</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24948.636845000001</v>
      </c>
      <c r="C18" s="21">
        <f>C5+C16</f>
        <v>0</v>
      </c>
      <c r="D18" s="21">
        <f>MAX((D5+D16),0)</f>
        <v>8584.2196832699992</v>
      </c>
      <c r="E18" s="21">
        <f>MAX((E5+E16),0)</f>
        <v>85.476256942851251</v>
      </c>
      <c r="F18" s="21">
        <f>MAX((F5+F16),0)</f>
        <v>9041.9114404566371</v>
      </c>
      <c r="G18" s="21"/>
      <c r="H18" s="21"/>
      <c r="I18" s="21"/>
      <c r="J18" s="21">
        <f>MAX((J5+J16),0)</f>
        <v>4.7824073446112276</v>
      </c>
      <c r="K18" s="21"/>
      <c r="L18" s="21">
        <f>MAX((L5+L16),0)</f>
        <v>0</v>
      </c>
      <c r="M18" s="21"/>
      <c r="N18" s="21">
        <f>MAX((N5+N16),0)</f>
        <v>835.11582276255001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0.1862090665546848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4645.6623787192666</v>
      </c>
      <c r="C22" s="23">
        <f ca="1">C18*C20</f>
        <v>0</v>
      </c>
      <c r="D22" s="23">
        <f>D18*D20</f>
        <v>1734.0123760205399</v>
      </c>
      <c r="E22" s="23">
        <f>E18*E20</f>
        <v>19.403110326027235</v>
      </c>
      <c r="F22" s="23">
        <f>F18*F20</f>
        <v>2414.1903546019221</v>
      </c>
      <c r="G22" s="23"/>
      <c r="H22" s="23"/>
      <c r="I22" s="23"/>
      <c r="J22" s="23">
        <f>J18*J20</f>
        <v>1.6929721999923746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4542.7581319999999</v>
      </c>
      <c r="C30" s="39">
        <f>IF(ISERROR(B30*3.6/1000000/'E Balans VL '!Z18*100),0,B30*3.6/1000000/'E Balans VL '!Z18*100)</f>
        <v>0.22549227543706216</v>
      </c>
      <c r="D30" s="233" t="s">
        <v>691</v>
      </c>
    </row>
    <row r="31" spans="1:18">
      <c r="A31" s="6" t="s">
        <v>32</v>
      </c>
      <c r="B31" s="37">
        <f>IF( ISERROR(IND_ander_ele_kWh/1000),0,IND_ander_ele_kWh/1000)</f>
        <v>14064.79075</v>
      </c>
      <c r="C31" s="39">
        <f>IF(ISERROR(B31*3.6/1000000/'E Balans VL '!Z19*100),0,B31*3.6/1000000/'E Balans VL '!Z19*100)</f>
        <v>0.47461461536521288</v>
      </c>
      <c r="D31" s="233" t="s">
        <v>691</v>
      </c>
    </row>
    <row r="32" spans="1:18">
      <c r="A32" s="168" t="s">
        <v>40</v>
      </c>
      <c r="B32" s="37">
        <f>IF( ISERROR(IND_voed_ele_kWh/1000),0,IND_voed_ele_kWh/1000)</f>
        <v>5661.2549589999999</v>
      </c>
      <c r="C32" s="39">
        <f>IF(ISERROR(B32*3.6/1000000/'E Balans VL '!Z20*100),0,B32*3.6/1000000/'E Balans VL '!Z20*100)</f>
        <v>0.1329506838844787</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314.32633799999996</v>
      </c>
      <c r="C35" s="39">
        <f>IF(ISERROR(B35*3.6/1000000/'E Balans VL '!Z22*100),0,B35*3.6/1000000/'E Balans VL '!Z22*100)</f>
        <v>4.4593716003979184E-2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365.50666600000005</v>
      </c>
      <c r="C37" s="39">
        <f>IF(ISERROR(B37*3.6/1000000/'E Balans VL '!Z15*100),0,B37*3.6/1000000/'E Balans VL '!Z15*100)</f>
        <v>1.3697469046125908E-3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9786.8547326881799</v>
      </c>
      <c r="C5" s="17">
        <f>'Eigen informatie GS &amp; warmtenet'!B62</f>
        <v>0</v>
      </c>
      <c r="D5" s="30">
        <f>IF(ISERROR(SUM(LB_lb_gas_kWh,LB_rest_gas_kWh)/1000),0,SUM(LB_lb_gas_kWh,LB_rest_gas_kWh)/1000)*0.903</f>
        <v>766.33350729600011</v>
      </c>
      <c r="E5" s="17">
        <f>B17*'E Balans VL '!I25/3.6*1000000/100</f>
        <v>364.98174883507198</v>
      </c>
      <c r="F5" s="17">
        <f>B17*('E Balans VL '!L25/3.6*1000000+'E Balans VL '!N25/3.6*1000000)/100</f>
        <v>31752.338542371974</v>
      </c>
      <c r="G5" s="18"/>
      <c r="H5" s="17"/>
      <c r="I5" s="17"/>
      <c r="J5" s="17">
        <f>('E Balans VL '!D25+'E Balans VL '!E25)/3.6*1000000*landbouw!B17/100</f>
        <v>2569.0976841235915</v>
      </c>
      <c r="K5" s="17"/>
      <c r="L5" s="17">
        <f>L6*(-1)</f>
        <v>0</v>
      </c>
      <c r="M5" s="17"/>
      <c r="N5" s="17">
        <f>N6*(-1)</f>
        <v>5396.1428571428569</v>
      </c>
      <c r="O5" s="17"/>
      <c r="P5" s="17"/>
      <c r="R5" s="32"/>
    </row>
    <row r="6" spans="1:18">
      <c r="A6" s="16" t="s">
        <v>473</v>
      </c>
      <c r="B6" s="17" t="s">
        <v>210</v>
      </c>
      <c r="C6" s="17">
        <f>'lokale energieproductie'!O40+'lokale energieproductie'!O33</f>
        <v>268.07142857142856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-5396.1428571428569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9786.8547326881799</v>
      </c>
      <c r="C8" s="21">
        <f>C5+C6</f>
        <v>268.07142857142856</v>
      </c>
      <c r="D8" s="21">
        <f>MAX((D5+D6),0)</f>
        <v>766.33350729600011</v>
      </c>
      <c r="E8" s="21">
        <f>MAX((E5+E6),0)</f>
        <v>364.98174883507198</v>
      </c>
      <c r="F8" s="21">
        <f>MAX((F5+F6),0)</f>
        <v>31752.338542371974</v>
      </c>
      <c r="G8" s="21"/>
      <c r="H8" s="21"/>
      <c r="I8" s="21"/>
      <c r="J8" s="21">
        <f>MAX((J5+J6),0)</f>
        <v>2569.0976841235915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0.1862090665546848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1822.4010842801652</v>
      </c>
      <c r="C12" s="23">
        <f ca="1">C8*C10</f>
        <v>0</v>
      </c>
      <c r="D12" s="23">
        <f>D8*D10</f>
        <v>154.79936847379204</v>
      </c>
      <c r="E12" s="23">
        <f>E8*E10</f>
        <v>82.850856985561336</v>
      </c>
      <c r="F12" s="23">
        <f>F8*F10</f>
        <v>8477.8743908133183</v>
      </c>
      <c r="G12" s="23"/>
      <c r="H12" s="23"/>
      <c r="I12" s="23"/>
      <c r="J12" s="23">
        <f>J8*J10</f>
        <v>909.46058017975133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1.3441989585576675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2113.3153829339071</v>
      </c>
      <c r="C26" s="243">
        <f>B26*'GWP N2O_CH4'!B5</f>
        <v>44379.623041612052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1100.1630642886225</v>
      </c>
      <c r="C27" s="243">
        <f>B27*'GWP N2O_CH4'!B5</f>
        <v>23103.424350061072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29.803014686029751</v>
      </c>
      <c r="C28" s="243">
        <f>B28*'GWP N2O_CH4'!B4</f>
        <v>9238.9345526692232</v>
      </c>
      <c r="D28" s="50"/>
    </row>
    <row r="29" spans="1:4">
      <c r="A29" s="41" t="s">
        <v>272</v>
      </c>
      <c r="B29" s="243">
        <f>B34*'ha_N2O bodem landbouw'!B4</f>
        <v>79.9112739056756</v>
      </c>
      <c r="C29" s="243">
        <f>B29*'GWP N2O_CH4'!B4</f>
        <v>24772.494910759437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1.821200753466853E-2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8.0961795917881851E-4</v>
      </c>
      <c r="C5" s="434" t="s">
        <v>210</v>
      </c>
      <c r="D5" s="419">
        <f>SUM(D6:D11)</f>
        <v>1.4754353939484483E-3</v>
      </c>
      <c r="E5" s="419">
        <f>SUM(E6:E11)</f>
        <v>8.1257242956107173E-4</v>
      </c>
      <c r="F5" s="432" t="s">
        <v>210</v>
      </c>
      <c r="G5" s="419">
        <f>SUM(G6:G11)</f>
        <v>0.37412781800870848</v>
      </c>
      <c r="H5" s="419">
        <f>SUM(H6:H11)</f>
        <v>8.9644087941251324E-2</v>
      </c>
      <c r="I5" s="434" t="s">
        <v>210</v>
      </c>
      <c r="J5" s="434" t="s">
        <v>210</v>
      </c>
      <c r="K5" s="434" t="s">
        <v>210</v>
      </c>
      <c r="L5" s="434" t="s">
        <v>210</v>
      </c>
      <c r="M5" s="419">
        <f>SUM(M6:M11)</f>
        <v>2.7295650297636045E-2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6.5618893635196822E-4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1.1402500534126293E-3</v>
      </c>
      <c r="E6" s="885">
        <f>vkm_GW_PW*SUMIFS(TableVerdeelsleutelVkm[LPG],TableVerdeelsleutelVkm[Voertuigtype],"Lichte voertuigen")*SUMIFS(TableECFTransport[EnergieConsumptieFactor (PJ per km)],TableECFTransport[Index],CONCATENATE($A6,"_LPG_LPG"))</f>
        <v>6.3405341172283961E-4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0.19053907876643811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6.947118509609701E-2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1.5557056762156303E-2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3.0446485964695961E-6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0.12601038709909795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1.2819246761575216E-6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7.0945790642903163E-3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1.502303833508582E-4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3.3518534053581883E-4</v>
      </c>
      <c r="E8" s="422">
        <f>vkm_NGW_PW*SUMIFS(TableVerdeelsleutelVkm[LPG],TableVerdeelsleutelVkm[Voertuigtype],"Lichte voertuigen")*SUMIFS(TableECFTransport[EnergieConsumptieFactor (PJ per km)],TableECFTransport[Index],CONCATENATE($A8,"_LPG_LPG"))</f>
        <v>1.7851901783823206E-4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4.9371030106555712E-2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2.017154266103054E-2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4.1819299512046654E-3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1.5399087952240842E-7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8.2073220366167335E-3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7.8259447621901959E-8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4.6208451998476263E-4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224.8938775496718</v>
      </c>
      <c r="C14" s="21"/>
      <c r="D14" s="21">
        <f t="shared" ref="D14:M14" si="0">((D5)*10^9/3600)+D12</f>
        <v>409.84316498568012</v>
      </c>
      <c r="E14" s="21">
        <f t="shared" si="0"/>
        <v>225.71456376696435</v>
      </c>
      <c r="F14" s="21"/>
      <c r="G14" s="21">
        <f t="shared" si="0"/>
        <v>103924.3938913079</v>
      </c>
      <c r="H14" s="21">
        <f t="shared" si="0"/>
        <v>24901.135539236479</v>
      </c>
      <c r="I14" s="21"/>
      <c r="J14" s="21"/>
      <c r="K14" s="21"/>
      <c r="L14" s="21"/>
      <c r="M14" s="21">
        <f t="shared" si="0"/>
        <v>7582.12508267668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0.1862090665546848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41.877279012387973</v>
      </c>
      <c r="C18" s="23"/>
      <c r="D18" s="23">
        <f t="shared" ref="D18:M18" si="1">D14*D16</f>
        <v>82.788319327107388</v>
      </c>
      <c r="E18" s="23">
        <f t="shared" si="1"/>
        <v>51.237205975100906</v>
      </c>
      <c r="F18" s="23"/>
      <c r="G18" s="23">
        <f t="shared" si="1"/>
        <v>27747.813168979214</v>
      </c>
      <c r="H18" s="23">
        <f t="shared" si="1"/>
        <v>6200.3827492698829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8.9294636584451238E-5</v>
      </c>
      <c r="C50" s="315">
        <f t="shared" ref="C50:P50" si="2">SUM(C51:C52)</f>
        <v>0</v>
      </c>
      <c r="D50" s="315">
        <f t="shared" si="2"/>
        <v>0</v>
      </c>
      <c r="E50" s="315">
        <f t="shared" si="2"/>
        <v>0</v>
      </c>
      <c r="F50" s="315">
        <f t="shared" si="2"/>
        <v>0</v>
      </c>
      <c r="G50" s="315">
        <f t="shared" si="2"/>
        <v>6.3736901824350501E-3</v>
      </c>
      <c r="H50" s="315">
        <f t="shared" si="2"/>
        <v>0</v>
      </c>
      <c r="I50" s="315">
        <f t="shared" si="2"/>
        <v>0</v>
      </c>
      <c r="J50" s="315">
        <f t="shared" si="2"/>
        <v>0</v>
      </c>
      <c r="K50" s="315">
        <f t="shared" si="2"/>
        <v>0</v>
      </c>
      <c r="L50" s="315">
        <f t="shared" si="2"/>
        <v>0</v>
      </c>
      <c r="M50" s="315">
        <f t="shared" si="2"/>
        <v>3.5194620949385147E-4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8.9294636584451238E-5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6.3736901824350501E-3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3.5194620949385147E-4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24.804065717903121</v>
      </c>
      <c r="C54" s="21">
        <f t="shared" ref="C54:P54" si="3">(C50)*10^9/3600</f>
        <v>0</v>
      </c>
      <c r="D54" s="21">
        <f t="shared" si="3"/>
        <v>0</v>
      </c>
      <c r="E54" s="21">
        <f t="shared" si="3"/>
        <v>0</v>
      </c>
      <c r="F54" s="21">
        <f t="shared" si="3"/>
        <v>0</v>
      </c>
      <c r="G54" s="21">
        <f t="shared" si="3"/>
        <v>1770.4694951208471</v>
      </c>
      <c r="H54" s="21">
        <f t="shared" si="3"/>
        <v>0</v>
      </c>
      <c r="I54" s="21">
        <f t="shared" si="3"/>
        <v>0</v>
      </c>
      <c r="J54" s="21">
        <f t="shared" si="3"/>
        <v>0</v>
      </c>
      <c r="K54" s="21">
        <f t="shared" si="3"/>
        <v>0</v>
      </c>
      <c r="L54" s="21">
        <f t="shared" si="3"/>
        <v>0</v>
      </c>
      <c r="M54" s="21">
        <f t="shared" si="3"/>
        <v>97.762835970514288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0.1862090665546848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4.6187419240917977</v>
      </c>
      <c r="C58" s="23">
        <f t="shared" ref="C58:P58" ca="1" si="4">C54*C56</f>
        <v>0</v>
      </c>
      <c r="D58" s="23">
        <f t="shared" si="4"/>
        <v>0</v>
      </c>
      <c r="E58" s="23">
        <f t="shared" si="4"/>
        <v>0</v>
      </c>
      <c r="F58" s="23">
        <f t="shared" si="4"/>
        <v>0</v>
      </c>
      <c r="G58" s="23">
        <f t="shared" si="4"/>
        <v>472.71535519726621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2984.1161810081367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9694.7316390150027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187.64999999999998</v>
      </c>
      <c r="C8" s="544">
        <f>B49</f>
        <v>0</v>
      </c>
      <c r="D8" s="545"/>
      <c r="E8" s="545">
        <f>E49</f>
        <v>0</v>
      </c>
      <c r="F8" s="546"/>
      <c r="G8" s="547"/>
      <c r="H8" s="545">
        <f>I49</f>
        <v>0</v>
      </c>
      <c r="I8" s="545">
        <f>G49+F49</f>
        <v>0</v>
      </c>
      <c r="J8" s="545">
        <f>H49+D49+C49</f>
        <v>220.76470588235293</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1701</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14567.49782002314</v>
      </c>
      <c r="C10" s="559">
        <f t="shared" ref="C10:L10" si="0">SUM(C8:C9)</f>
        <v>0</v>
      </c>
      <c r="D10" s="559">
        <f t="shared" si="0"/>
        <v>0</v>
      </c>
      <c r="E10" s="559">
        <f t="shared" si="0"/>
        <v>0</v>
      </c>
      <c r="F10" s="559">
        <f t="shared" si="0"/>
        <v>0</v>
      </c>
      <c r="G10" s="559">
        <f t="shared" si="0"/>
        <v>0</v>
      </c>
      <c r="H10" s="559">
        <f t="shared" si="0"/>
        <v>0</v>
      </c>
      <c r="I10" s="559">
        <f t="shared" si="0"/>
        <v>0</v>
      </c>
      <c r="J10" s="559">
        <f t="shared" si="0"/>
        <v>5080.7647058823532</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268.07142857142856</v>
      </c>
      <c r="C17" s="575">
        <f>B50</f>
        <v>0</v>
      </c>
      <c r="D17" s="576"/>
      <c r="E17" s="576">
        <f>E50</f>
        <v>0</v>
      </c>
      <c r="F17" s="577"/>
      <c r="G17" s="578"/>
      <c r="H17" s="575">
        <f>I50</f>
        <v>0</v>
      </c>
      <c r="I17" s="576">
        <f>G50+F50</f>
        <v>0</v>
      </c>
      <c r="J17" s="576">
        <f>H50+D50+C50</f>
        <v>315.37815126050418</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268.07142857142856</v>
      </c>
      <c r="C20" s="558">
        <f>SUM(C17:C19)</f>
        <v>0</v>
      </c>
      <c r="D20" s="558">
        <f t="shared" ref="D20:L20" si="1">SUM(D17:D19)</f>
        <v>0</v>
      </c>
      <c r="E20" s="558">
        <f t="shared" si="1"/>
        <v>0</v>
      </c>
      <c r="F20" s="558">
        <f t="shared" si="1"/>
        <v>0</v>
      </c>
      <c r="G20" s="558">
        <f t="shared" si="1"/>
        <v>0</v>
      </c>
      <c r="H20" s="558">
        <f t="shared" si="1"/>
        <v>0</v>
      </c>
      <c r="I20" s="558">
        <f t="shared" si="1"/>
        <v>0</v>
      </c>
      <c r="J20" s="558">
        <f t="shared" si="1"/>
        <v>315.37815126050418</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32003</v>
      </c>
      <c r="C28" s="786">
        <v>8600</v>
      </c>
      <c r="D28" s="636" t="s">
        <v>883</v>
      </c>
      <c r="E28" s="635" t="s">
        <v>884</v>
      </c>
      <c r="F28" s="635" t="s">
        <v>885</v>
      </c>
      <c r="G28" s="635" t="s">
        <v>886</v>
      </c>
      <c r="H28" s="635" t="s">
        <v>887</v>
      </c>
      <c r="I28" s="635" t="s">
        <v>888</v>
      </c>
      <c r="J28" s="785">
        <v>41117</v>
      </c>
      <c r="K28" s="785">
        <v>41244</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25.5">
      <c r="A29" s="588"/>
      <c r="B29" s="786">
        <v>32003</v>
      </c>
      <c r="C29" s="786">
        <v>8600</v>
      </c>
      <c r="D29" s="636"/>
      <c r="E29" s="635"/>
      <c r="F29" s="635" t="s">
        <v>890</v>
      </c>
      <c r="G29" s="635" t="s">
        <v>886</v>
      </c>
      <c r="H29" s="635" t="s">
        <v>887</v>
      </c>
      <c r="I29" s="635" t="s">
        <v>891</v>
      </c>
      <c r="J29" s="785">
        <v>40882</v>
      </c>
      <c r="K29" s="785">
        <v>41250</v>
      </c>
      <c r="L29" s="635" t="s">
        <v>892</v>
      </c>
      <c r="M29" s="635">
        <v>32</v>
      </c>
      <c r="N29" s="635">
        <v>144</v>
      </c>
      <c r="O29" s="635">
        <v>205.71428571428572</v>
      </c>
      <c r="P29" s="635">
        <v>0</v>
      </c>
      <c r="Q29" s="635">
        <v>0</v>
      </c>
      <c r="R29" s="635">
        <v>0</v>
      </c>
      <c r="S29" s="635">
        <v>0</v>
      </c>
      <c r="T29" s="635">
        <v>0</v>
      </c>
      <c r="U29" s="635">
        <v>0</v>
      </c>
      <c r="V29" s="635">
        <v>411.42857142857144</v>
      </c>
      <c r="W29" s="635">
        <v>0</v>
      </c>
      <c r="X29" s="635">
        <v>10</v>
      </c>
      <c r="Y29" s="635" t="s">
        <v>893</v>
      </c>
      <c r="Z29" s="637" t="s">
        <v>111</v>
      </c>
    </row>
    <row r="30" spans="1:26" s="569" customFormat="1">
      <c r="A30" s="591" t="s">
        <v>275</v>
      </c>
      <c r="B30" s="592"/>
      <c r="C30" s="592"/>
      <c r="D30" s="592"/>
      <c r="E30" s="592"/>
      <c r="F30" s="592"/>
      <c r="G30" s="592"/>
      <c r="H30" s="592"/>
      <c r="I30" s="592"/>
      <c r="J30" s="592"/>
      <c r="K30" s="592"/>
      <c r="L30" s="593"/>
      <c r="M30" s="593">
        <f>SUM(M28:M29)</f>
        <v>41.7</v>
      </c>
      <c r="N30" s="593">
        <f>SUM(N28:N29)</f>
        <v>187.64999999999998</v>
      </c>
      <c r="O30" s="593">
        <f>SUM(O28:O29)</f>
        <v>268.07142857142856</v>
      </c>
      <c r="P30" s="593">
        <f>SUM(P28:P29)</f>
        <v>0</v>
      </c>
      <c r="Q30" s="593">
        <f>SUM(Q28:Q29)</f>
        <v>124.71428571428569</v>
      </c>
      <c r="R30" s="593">
        <f>SUM(R28:R29)</f>
        <v>0</v>
      </c>
      <c r="S30" s="593">
        <f>SUM(S28:S29)</f>
        <v>0</v>
      </c>
      <c r="T30" s="593">
        <f>SUM(T28:T29)</f>
        <v>0</v>
      </c>
      <c r="U30" s="593">
        <f>SUM(U28:U29)</f>
        <v>0</v>
      </c>
      <c r="V30" s="593">
        <f>SUM(V28:V29)</f>
        <v>411.42857142857144</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41.7</v>
      </c>
      <c r="N33" s="598">
        <f>SUMIF($Z$28:$Z$29,"landbouw",N28:N29)</f>
        <v>187.64999999999998</v>
      </c>
      <c r="O33" s="598">
        <f>SUMIF($Z$28:$Z$29,"landbouw",O28:O29)</f>
        <v>268.07142857142856</v>
      </c>
      <c r="P33" s="598">
        <f>SUMIF($Z$28:$Z$29,"landbouw",P28:P29)</f>
        <v>0</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411.42857142857144</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38.25">
      <c r="A36" s="590"/>
      <c r="B36" s="786">
        <v>32003</v>
      </c>
      <c r="C36" s="786">
        <v>8600</v>
      </c>
      <c r="D36" s="638" t="s">
        <v>894</v>
      </c>
      <c r="E36" s="638" t="s">
        <v>895</v>
      </c>
      <c r="F36" s="638" t="s">
        <v>896</v>
      </c>
      <c r="G36" s="638" t="s">
        <v>897</v>
      </c>
      <c r="H36" s="638" t="s">
        <v>898</v>
      </c>
      <c r="I36" s="638" t="s">
        <v>899</v>
      </c>
      <c r="J36" s="785">
        <v>39340</v>
      </c>
      <c r="K36" s="785">
        <v>40704</v>
      </c>
      <c r="L36" s="638" t="s">
        <v>889</v>
      </c>
      <c r="M36" s="638">
        <v>378</v>
      </c>
      <c r="N36" s="638">
        <v>1701</v>
      </c>
      <c r="O36" s="638">
        <v>0</v>
      </c>
      <c r="P36" s="638">
        <v>0</v>
      </c>
      <c r="Q36" s="638">
        <v>0</v>
      </c>
      <c r="R36" s="638">
        <v>0</v>
      </c>
      <c r="S36" s="638">
        <v>0</v>
      </c>
      <c r="T36" s="638">
        <v>0</v>
      </c>
      <c r="U36" s="638">
        <v>0</v>
      </c>
      <c r="V36" s="638">
        <v>4860</v>
      </c>
      <c r="W36" s="638">
        <v>0</v>
      </c>
      <c r="X36" s="638">
        <v>10</v>
      </c>
      <c r="Y36" s="638" t="s">
        <v>111</v>
      </c>
      <c r="Z36" s="639" t="s">
        <v>111</v>
      </c>
    </row>
    <row r="37" spans="1:27" s="569" customFormat="1">
      <c r="A37" s="591" t="s">
        <v>275</v>
      </c>
      <c r="B37" s="592"/>
      <c r="C37" s="592"/>
      <c r="D37" s="592"/>
      <c r="E37" s="592"/>
      <c r="F37" s="592"/>
      <c r="G37" s="592"/>
      <c r="H37" s="592"/>
      <c r="I37" s="592"/>
      <c r="J37" s="592"/>
      <c r="K37" s="592"/>
      <c r="L37" s="593"/>
      <c r="M37" s="593">
        <f>SUM(M36:M36)</f>
        <v>378</v>
      </c>
      <c r="N37" s="593">
        <f>SUM(N36:N36)</f>
        <v>1701</v>
      </c>
      <c r="O37" s="593">
        <f>SUM(O36:O36)</f>
        <v>0</v>
      </c>
      <c r="P37" s="593">
        <f>SUM(P36:P36)</f>
        <v>0</v>
      </c>
      <c r="Q37" s="593">
        <f>SUM(Q36:Q36)</f>
        <v>0</v>
      </c>
      <c r="R37" s="593">
        <f>SUM(R36:R36)</f>
        <v>0</v>
      </c>
      <c r="S37" s="593">
        <f>SUM(S36:S36)</f>
        <v>0</v>
      </c>
      <c r="T37" s="593">
        <f>SUM(T36:T36)</f>
        <v>0</v>
      </c>
      <c r="U37" s="593">
        <f>SUM(U36:U36)</f>
        <v>0</v>
      </c>
      <c r="V37" s="593">
        <f>SUM(V36:V36)</f>
        <v>4860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378</v>
      </c>
      <c r="N40" s="598">
        <f>SUMIF($Z$36:$Z$38,"landbouw",N36:N38)</f>
        <v>1701</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4860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51.35294117647058</v>
      </c>
      <c r="D49" s="627">
        <f t="shared" si="2"/>
        <v>0</v>
      </c>
      <c r="E49" s="627">
        <f t="shared" si="2"/>
        <v>0</v>
      </c>
      <c r="F49" s="627">
        <f t="shared" si="2"/>
        <v>0</v>
      </c>
      <c r="G49" s="627">
        <f t="shared" si="2"/>
        <v>0</v>
      </c>
      <c r="H49" s="627">
        <f t="shared" si="2"/>
        <v>169.41176470588235</v>
      </c>
      <c r="I49" s="628">
        <f t="shared" si="2"/>
        <v>0</v>
      </c>
      <c r="J49" s="585"/>
      <c r="K49" s="585"/>
      <c r="L49" s="623"/>
      <c r="M49" s="623"/>
      <c r="N49" s="623"/>
      <c r="O49" s="610"/>
      <c r="P49" s="610"/>
    </row>
    <row r="50" spans="1:16" ht="15.75" thickBot="1">
      <c r="A50" s="629" t="s">
        <v>281</v>
      </c>
      <c r="B50" s="630">
        <f t="shared" ref="B50:I50" si="3">$B$46*P30</f>
        <v>0</v>
      </c>
      <c r="C50" s="630">
        <f t="shared" si="3"/>
        <v>73.361344537815114</v>
      </c>
      <c r="D50" s="630">
        <f t="shared" si="3"/>
        <v>0</v>
      </c>
      <c r="E50" s="630">
        <f t="shared" si="3"/>
        <v>0</v>
      </c>
      <c r="F50" s="630">
        <f t="shared" si="3"/>
        <v>0</v>
      </c>
      <c r="G50" s="630">
        <f t="shared" si="3"/>
        <v>0</v>
      </c>
      <c r="H50" s="630">
        <f t="shared" si="3"/>
        <v>242.0168067226891</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2021-06-29T14:30:31Z</dcterms:modified>
</cp:coreProperties>
</file>