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2" i="59"/>
  <c r="C17" i="49"/>
  <c r="C17" i="19"/>
  <c r="C19" i="19" s="1"/>
  <c r="D39" i="14" s="1"/>
  <c r="C18" i="15"/>
  <c r="C20" i="15" s="1"/>
  <c r="D40"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<sst xmlns="http://schemas.openxmlformats.org/spreadsheetml/2006/main" count="2466" uniqueCount="892">
  <si>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</si>
  <si>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</si>
  <si>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</si>
  <si>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</si>
  <si>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</si>
  <si>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</si>
  <si>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</si>
  <si>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</si>
  <si>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</si>
  <si>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</si>
  <si>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</si>
  <si>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</si>
  <si>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</si>
  <si>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</si>
  <si>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</si>
  <si>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</si>
  <si>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</si>
  <si>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</si>
  <si>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</si>
  <si>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</si>
  <si>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</si>
  <si>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</si>
  <si>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</si>
  <si>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</si>
  <si>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</si>
  <si>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</si>
  <si>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</si>
  <si>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</si>
  <si>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</si>
  <si>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</si>
  <si>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</si>
  <si>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</si>
  <si>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</si>
  <si>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</si>
  <si>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</si>
  <si>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</si>
  <si>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</si>
  <si>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</si>
  <si>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</si>
  <si>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</si>
  <si>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</si>
  <si>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</si>
  <si>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</si>
  <si>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</si>
  <si>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</si>
  <si>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</si>
  <si>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</si>
  <si>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</si>
  <si>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</si>
  <si>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</si>
  <si>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</si>
  <si>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</si>
  <si>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</si>
  <si>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</si>
  <si>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</si>
  <si>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</si>
  <si>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</si>
  <si>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</si>
  <si>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</si>
  <si>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</si>
  <si>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</si>
  <si>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</si>
  <si>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</si>
  <si>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</si>
  <si>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</si>
  <si>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</si>
  <si>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</si>
  <si>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</si>
  <si>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</si>
  <si>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</si>
  <si>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</si>
  <si>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</si>
  <si>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</si>
  <si>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</si>
  <si>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</si>
  <si>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</si>
  <si>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</si>
  <si>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</si>
  <si>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</si>
  <si>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</si>
  <si>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</si>
  <si>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</si>
  <si>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</si>
  <si>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</si>
  <si>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</si>
  <si>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</si>
  <si>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</si>
  <si>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</si>
  <si>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</si>
  <si>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</si>
  <si>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</si>
  <si>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</si>
  <si>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</si>
  <si>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</si>
  <si>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</si>
  <si>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</si>
  <si>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</si>
  <si>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</si>
  <si>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</si>
  <si>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</si>
  <si>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</si>
  <si>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</si>
  <si>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</si>
  <si>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</si>
  <si>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</si>
  <si>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</si>
  <si>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</si>
  <si>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</si>
  <si>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</si>
  <si>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</si>
  <si>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</si>
  <si>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</si>
  <si>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</si>
  <si>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</si>
  <si>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</si>
  <si>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</si>
  <si>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</si>
  <si>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</si>
  <si>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</si>
  <si>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</si>
  <si>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</si>
  <si>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</si>
  <si>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</si>
  <si>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</si>
  <si>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</si>
  <si>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</si>
  <si>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</si>
  <si>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</si>
  <si>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</si>
  <si>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</si>
  <si>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</si>
  <si>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</si>
  <si>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</si>
  <si>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</si>
  <si>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</si>
  <si>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</si>
  <si>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</si>
  <si>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</si>
  <si>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</si>
  <si>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</si>
  <si>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</si>
  <si>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</si>
  <si>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</si>
  <si>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</si>
  <si>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</si>
  <si>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</si>
  <si>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</si>
  <si>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</si>
  <si>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</si>
  <si>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</si>
  <si>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</si>
  <si>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</si>
  <si>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</si>
  <si>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</si>
  <si>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</si>
  <si>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</si>
  <si>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</si>
  <si>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</si>
  <si>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</si>
  <si>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</si>
  <si>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</si>
  <si>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</si>
  <si>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</si>
  <si>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</si>
  <si>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</si>
  <si>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</si>
  <si>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</si>
  <si>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</si>
  <si>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</si>
  <si>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</si>
  <si>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</si>
  <si>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</si>
  <si>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</si>
  <si>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</si>
  <si>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</si>
  <si>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</si>
  <si>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</si>
  <si>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</si>
  <si>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</si>
  <si>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</si>
  <si>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</si>
  <si>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</si>
  <si>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</si>
  <si>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</si>
  <si>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</si>
  <si>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</si>
  <si>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</si>
  <si>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</si>
  <si>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</si>
  <si>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</si>
  <si>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</si>
  <si>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</si>
  <si>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</si>
  <si>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</si>
  <si>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</si>
  <si>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</si>
  <si>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</si>
  <si>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</si>
  <si>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</si>
  <si>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</si>
  <si>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</si>
  <si>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</si>
  <si>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</si>
  <si>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</si>
  <si>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</si>
  <si>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</si>
  <si>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</si>
  <si>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</si>
  <si>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</si>
  <si>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</si>
  <si>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</si>
  <si>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</si>
  <si>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</si>
  <si>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</si>
  <si>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</si>
  <si>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</si>
  <si>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</si>
  <si>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</si>
  <si>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</si>
  <si>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</si>
  <si>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</si>
  <si>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</si>
  <si>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</si>
  <si>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</si>
  <si>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</si>
  <si>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</si>
  <si>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</si>
  <si>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</si>
  <si>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</si>
  <si>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</si>
  <si>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</si>
  <si>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</si>
  <si>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</si>
  <si>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</si>
  <si>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</si>
  <si>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</si>
  <si>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</si>
  <si>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</si>
  <si>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</si>
  <si>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</si>
  <si>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</si>
  <si>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</si>
  <si>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</si>
  <si>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</si>
  <si>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</si>
  <si>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</si>
  <si>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</si>
  <si>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</si>
  <si>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</si>
  <si>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</si>
  <si>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</si>
  <si>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</si>
  <si>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</si>
  <si>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</si>
  <si>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</si>
  <si>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</si>
  <si>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</si>
  <si>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</si>
  <si>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</si>
  <si>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</si>
  <si>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</si>
  <si>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</si>
  <si>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</si>
  <si>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</si>
  <si>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</si>
  <si>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</si>
  <si>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</si>
  <si>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</si>
  <si>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</si>
  <si>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</si>
  <si>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</si>
  <si>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</si>
  <si>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</si>
  <si>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</si>
  <si>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</si>
  <si>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</si>
  <si>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</si>
  <si>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</si>
  <si>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</si>
  <si>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</si>
  <si>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</si>
  <si>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</si>
  <si>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</si>
  <si>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</si>
  <si>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</si>
  <si>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</si>
  <si>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</si>
  <si>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</si>
  <si>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</si>
  <si>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</si>
  <si>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</si>
  <si>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</si>
  <si>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</si>
  <si>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</si>
  <si>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</si>
  <si>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</si>
  <si>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</si>
  <si>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</si>
  <si>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</si>
  <si>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</si>
  <si>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</si>
  <si>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</si>
  <si>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</si>
  <si>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</si>
  <si>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</si>
  <si>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</si>
  <si>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</si>
  <si>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</si>
  <si>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</si>
  <si>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</si>
  <si>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</si>
  <si>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</si>
  <si>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</si>
  <si>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</si>
  <si>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</si>
  <si>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</si>
  <si>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</si>
  <si>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</si>
  <si>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</si>
  <si>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</si>
  <si>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</si>
  <si>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</si>
  <si>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</si>
  <si>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</si>
  <si>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</si>
  <si>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</si>
  <si>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</si>
  <si>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</si>
  <si>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</si>
  <si>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</si>
  <si>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</si>
  <si>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</si>
  <si>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</si>
  <si>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</si>
  <si>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</si>
  <si>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</si>
  <si>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</si>
  <si>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</si>
  <si>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</si>
  <si>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</si>
  <si>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</si>
  <si>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</si>
  <si>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</si>
  <si>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</si>
  <si>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</si>
  <si>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</si>
  <si>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</si>
  <si>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</si>
  <si>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</si>
  <si>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</si>
  <si>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</si>
  <si>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</si>
  <si>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</si>
  <si>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</si>
  <si>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</si>
  <si>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</si>
  <si>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</si>
  <si>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</si>
  <si>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</si>
  <si>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</si>
  <si>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</si>
  <si>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</si>
  <si>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</si>
  <si>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</si>
  <si>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</si>
  <si>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</si>
  <si>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</si>
  <si>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</si>
  <si>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</si>
  <si>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</si>
  <si>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</si>
  <si>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</si>
  <si>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</si>
  <si>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</si>
  <si>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</si>
  <si>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</si>
  <si>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</si>
  <si>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</si>
  <si>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</si>
  <si>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</si>
  <si>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</si>
  <si>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</si>
  <si>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</si>
  <si>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</si>
  <si>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</si>
  <si>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</si>
  <si>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</si>
  <si>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</si>
  <si>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</si>
  <si>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</si>
  <si>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</si>
  <si>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</si>
  <si>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</si>
  <si>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</si>
  <si>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</si>
  <si>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</si>
  <si>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</si>
  <si>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</si>
  <si>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</si>
  <si>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</si>
  <si>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</si>
  <si>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</si>
  <si>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</si>
  <si>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</si>
  <si>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</si>
  <si>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</si>
  <si>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</si>
  <si>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</si>
  <si>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</si>
  <si>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</si>
  <si>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</si>
  <si>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</si>
  <si>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</si>
  <si>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</si>
  <si>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</si>
  <si>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</si>
  <si>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</si>
  <si>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</si>
  <si>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</si>
  <si>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</si>
  <si>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</si>
  <si>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</si>
  <si>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</si>
  <si>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</si>
  <si>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</si>
  <si>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</si>
  <si>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</si>
  <si>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</si>
  <si>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</si>
  <si>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</si>
  <si>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</si>
  <si>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</si>
  <si>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</si>
  <si>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</si>
  <si>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</si>
  <si>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</si>
  <si>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</si>
  <si>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</si>
  <si>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</si>
  <si>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</si>
  <si>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</si>
  <si>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</si>
  <si>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</si>
  <si>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</si>
  <si>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</si>
  <si>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</si>
  <si>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</si>
  <si>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</si>
  <si>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</si>
  <si>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</si>
  <si>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</si>
  <si>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</si>
  <si>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</si>
  <si>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</si>
  <si>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</si>
  <si>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</si>
  <si>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</si>
  <si>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</si>
  <si>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</si>
  <si>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</si>
  <si>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</si>
  <si>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</si>
  <si>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</si>
  <si>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</si>
  <si>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</si>
  <si>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</si>
  <si>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</si>
  <si>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</si>
  <si>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</si>
  <si>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</si>
  <si>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</si>
  <si>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</si>
  <si>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</si>
  <si>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</si>
  <si>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</si>
  <si>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</si>
  <si>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</si>
  <si>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</si>
  <si>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</si>
  <si>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</si>
  <si>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</si>
  <si>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</si>
  <si>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</si>
  <si>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</si>
  <si>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</si>
  <si>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</si>
  <si>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</si>
  <si>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</si>
  <si>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</si>
  <si>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</si>
  <si>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</si>
  <si>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</si>
  <si>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</si>
  <si>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</si>
  <si>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</si>
  <si>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</si>
  <si>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</si>
  <si>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</si>
  <si>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</si>
  <si>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</si>
  <si>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</si>
  <si>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</si>
  <si>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</si>
  <si>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</si>
  <si>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</si>
  <si>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</si>
  <si>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</si>
  <si>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</si>
  <si>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</si>
  <si>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</si>
  <si>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</si>
  <si>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</si>
  <si>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</si>
  <si>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</si>
  <si>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</si>
  <si>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</si>
  <si>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</si>
  <si>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</si>
  <si>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</si>
  <si>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</si>
  <si>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</si>
  <si>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</si>
  <si>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</si>
  <si>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</si>
  <si>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</si>
  <si>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</si>
  <si>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</si>
  <si>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</si>
  <si>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</si>
  <si>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</si>
  <si>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</si>
  <si>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</si>
  <si>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</si>
  <si>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</si>
  <si>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</si>
  <si>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</si>
  <si>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</si>
  <si>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</si>
  <si>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</si>
  <si>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</si>
  <si>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</si>
  <si>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</si>
  <si>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</si>
  <si>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</si>
  <si>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</si>
  <si>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</si>
  <si>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</si>
  <si>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</si>
  <si>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</si>
  <si>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</si>
  <si>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</si>
  <si>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</si>
  <si>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</si>
  <si>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</si>
  <si>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</si>
  <si>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</si>
  <si>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</si>
  <si>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</si>
  <si>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</si>
  <si>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</si>
  <si>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</si>
  <si>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</si>
  <si>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</si>
  <si>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</si>
  <si>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</si>
  <si>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</si>
  <si>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</si>
  <si>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</si>
  <si>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</si>
  <si>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</si>
  <si>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</si>
  <si>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</si>
  <si>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</si>
  <si>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</si>
  <si>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</si>
  <si>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</si>
  <si>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</si>
  <si>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</si>
  <si>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</si>
  <si>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</si>
  <si>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</si>
  <si>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</si>
  <si>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</si>
  <si>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</si>
  <si>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</si>
  <si>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</si>
  <si>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</si>
  <si>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</si>
  <si>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</si>
  <si>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</si>
  <si>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</si>
  <si>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</si>
  <si>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</si>
  <si>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</si>
  <si>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</si>
  <si>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</si>
  <si>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</si>
  <si>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</si>
  <si>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</si>
  <si>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</si>
  <si>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</si>
  <si>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</si>
  <si>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</si>
  <si>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</si>
  <si>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</si>
  <si>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</si>
  <si>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</si>
  <si>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</si>
  <si>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</si>
  <si>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</si>
  <si>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</si>
  <si>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</si>
  <si>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</si>
  <si>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</si>
  <si>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</si>
  <si>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</si>
  <si>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</si>
  <si>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</si>
  <si>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</si>
  <si>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</si>
  <si>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</si>
  <si>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</si>
  <si>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</si>
  <si>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</si>
  <si>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</si>
  <si>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</si>
  <si>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</si>
  <si>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</si>
  <si>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</si>
  <si>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</si>
  <si>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</si>
  <si>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</si>
  <si>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</si>
  <si>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</si>
  <si>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</si>
  <si>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</si>
  <si>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</si>
  <si>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</si>
  <si>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</si>
  <si>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</si>
  <si>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</si>
  <si>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</si>
  <si>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</si>
  <si>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</si>
  <si>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</si>
  <si>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</si>
  <si>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</si>
  <si>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</si>
  <si>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</si>
  <si>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</si>
  <si>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</si>
  <si>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</si>
  <si>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</si>
  <si>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</si>
  <si>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</si>
  <si>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</si>
  <si>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</si>
  <si>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</si>
  <si>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</si>
  <si>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</si>
  <si>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</si>
  <si>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</si>
  <si>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</si>
  <si>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</si>
  <si>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</si>
  <si>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</si>
  <si>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</si>
  <si>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</si>
  <si>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</si>
  <si>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</si>
  <si>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</si>
  <si>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</si>
  <si>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</si>
  <si>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</si>
  <si>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</si>
  <si>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</si>
  <si>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</si>
  <si>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</si>
  <si>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</si>
  <si>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</si>
  <si>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</si>
  <si>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</si>
  <si>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</si>
  <si>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</si>
  <si>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</si>
  <si>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</si>
  <si>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</si>
  <si>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</si>
  <si>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</si>
  <si>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</si>
  <si>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</si>
  <si>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</si>
  <si>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</si>
  <si>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</si>
  <si>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</si>
  <si>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</si>
  <si>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</si>
  <si>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</si>
  <si>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</si>
  <si>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</si>
  <si>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</si>
  <si>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</si>
  <si>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</si>
  <si>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</si>
  <si>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</si>
  <si>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</si>
  <si>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</si>
  <si>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</si>
  <si>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</si>
  <si>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</si>
  <si>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</si>
  <si>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</si>
  <si>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</si>
  <si>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</si>
  <si>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</si>
  <si>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</si>
  <si>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</si>
  <si>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</si>
  <si>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</si>
  <si>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</si>
  <si>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</si>
  <si>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</si>
  <si>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</si>
  <si>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</si>
  <si>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</si>
  <si>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</si>
  <si>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</si>
  <si>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</si>
  <si>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</si>
  <si>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</si>
  <si>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</si>
  <si>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</si>
  <si>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</si>
  <si>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</si>
  <si>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</si>
  <si>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</si>
  <si>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</si>
  <si>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</si>
  <si>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</si>
  <si>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</si>
  <si>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</si>
  <si>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</si>
  <si>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</si>
  <si>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</si>
  <si>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</si>
  <si>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</si>
  <si>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</si>
  <si>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</si>
  <si>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</si>
  <si>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</si>
  <si>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</si>
  <si>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</si>
  <si>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</si>
  <si>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</si>
  <si>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</si>
  <si>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</si>
  <si>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</si>
  <si>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</si>
  <si>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</si>
  <si>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</si>
  <si>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</si>
  <si>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</si>
  <si>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</si>
  <si>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</si>
  <si>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</si>
  <si>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</si>
  <si>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</si>
  <si>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</si>
  <si>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</si>
  <si>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</si>
  <si>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</si>
  <si>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</si>
  <si>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</si>
  <si>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</si>
  <si>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</si>
  <si>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</si>
  <si>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</si>
  <si>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</si>
  <si>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</si>
  <si>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</si>
  <si>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</si>
  <si>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</si>
  <si>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</si>
  <si>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</si>
  <si>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</si>
  <si>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</si>
  <si>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</si>
  <si>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</si>
  <si>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</si>
  <si>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</si>
  <si>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</si>
  <si>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</si>
  <si>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</si>
  <si>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</si>
  <si>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</si>
  <si>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</si>
  <si>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</si>
  <si>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</si>
  <si>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</si>
  <si>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</si>
  <si>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</si>
  <si>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</si>
  <si>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</si>
  <si>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</si>
  <si>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</si>
  <si>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</si>
  <si>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</si>
  <si>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</si>
  <si>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</si>
  <si>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</si>
  <si>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</si>
  <si>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</si>
  <si>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</si>
  <si>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</si>
  <si>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</si>
  <si>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</si>
  <si>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</si>
  <si>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</si>
  <si>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</si>
  <si>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</si>
  <si>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</si>
  <si>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</si>
  <si>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</si>
  <si>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</si>
  <si>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</si>
  <si>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</si>
  <si>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</si>
  <si>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</si>
  <si>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</si>
  <si>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</si>
  <si>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</si>
  <si>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</si>
  <si>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</si>
  <si>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</si>
  <si>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</si>
  <si>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</si>
  <si>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</si>
  <si>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</si>
  <si>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</si>
  <si>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</si>
  <si>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</si>
  <si>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</si>
  <si>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</si>
  <si>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</si>
  <si>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</si>
  <si>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</si>
  <si>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</si>
  <si>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</si>
  <si>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</si>
  <si>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</si>
  <si>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</si>
  <si>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</si>
  <si>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</si>
  <si>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</si>
  <si>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</si>
  <si>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</si>
  <si>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</si>
  <si>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</si>
  <si>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</si>
  <si>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</si>
  <si>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</si>
  <si>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</si>
  <si>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</si>
  <si>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</si>
  <si>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</si>
  <si>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</si>
  <si>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</si>
  <si>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</si>
  <si>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</si>
  <si>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</si>
  <si>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</si>
  <si>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</si>
  <si>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</si>
  <si>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</si>
  <si>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</si>
  <si>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</si>
  <si>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</si>
  <si>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</si>
  <si>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</si>
  <si>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31040</t>
  </si>
  <si>
    <t>ZEDELGEM</t>
  </si>
  <si>
    <t>referentietaak LNE (2017); Jaarverslag De Lijn</t>
  </si>
  <si>
    <t>waterkracht</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</si>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</sst>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188100.99962101877</c:v>
                </c:pt>
                <c:pt idx="1">
                  <c:v>64967.566276376398</c:v>
                </c:pt>
                <c:pt idx="2">
                  <c:v>1505.9865788217201</c:v>
                </c:pt>
                <c:pt idx="3">
                  <c:v>61349.891035616267</c:v>
                </c:pt>
                <c:pt idx="4">
                  <c:v>83533.474266331395</c:v>
                </c:pt>
                <c:pt idx="5">
                  <c:v>212470.31745460426</c:v>
                </c:pt>
                <c:pt idx="6">
                  <c:v>1873.2249549679652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188100.99962101877</c:v>
                </c:pt>
                <c:pt idx="1">
                  <c:v>64967.566276376398</c:v>
                </c:pt>
                <c:pt idx="2">
                  <c:v>1505.9865788217201</c:v>
                </c:pt>
                <c:pt idx="3">
                  <c:v>61349.891035616267</c:v>
                </c:pt>
                <c:pt idx="4">
                  <c:v>83533.474266331395</c:v>
                </c:pt>
                <c:pt idx="5">
                  <c:v>212470.31745460426</c:v>
                </c:pt>
                <c:pt idx="6">
                  <c:v>1873.2249549679652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37753.728719087878</c:v>
                </c:pt>
                <c:pt idx="1">
                  <c:v>12561.31770986182</c:v>
                </c:pt>
                <c:pt idx="2">
                  <c:v>279.55800043158303</c:v>
                </c:pt>
                <c:pt idx="3">
                  <c:v>14497.449920535724</c:v>
                </c:pt>
                <c:pt idx="4">
                  <c:v>16768.94813544556</c:v>
                </c:pt>
                <c:pt idx="5">
                  <c:v>52894.245021623967</c:v>
                </c:pt>
                <c:pt idx="6">
                  <c:v>472.32440506252664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37753.728719087878</c:v>
                </c:pt>
                <c:pt idx="1">
                  <c:v>12561.31770986182</c:v>
                </c:pt>
                <c:pt idx="2">
                  <c:v>279.55800043158303</c:v>
                </c:pt>
                <c:pt idx="3">
                  <c:v>14497.449920535724</c:v>
                </c:pt>
                <c:pt idx="4">
                  <c:v>16768.94813544556</c:v>
                </c:pt>
                <c:pt idx="5">
                  <c:v>52894.245021623967</c:v>
                </c:pt>
                <c:pt idx="6">
                  <c:v>472.32440506252664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31040</v>
      </c>
      <c r="B6" s="386"/>
      <c r="C6" s="387"/>
    </row>
    <row r="7" spans="1:7" s="384" customFormat="1" ht="15.75" customHeight="1">
      <c r="A7" s="388" t="str">
        <f>txtMunicipality</f>
        <v>ZEDELGEM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28251.777643701182</v>
      </c>
      <c r="D10" s="682">
        <f ca="1">tertiair!C16</f>
        <v>0</v>
      </c>
      <c r="E10" s="682">
        <f ca="1">tertiair!D16</f>
        <v>31003.548543104622</v>
      </c>
      <c r="F10" s="682">
        <f>tertiair!E16</f>
        <v>103.09330416420272</v>
      </c>
      <c r="G10" s="682">
        <f ca="1">tertiair!F16</f>
        <v>4907.6045882943272</v>
      </c>
      <c r="H10" s="682">
        <f>tertiair!G16</f>
        <v>0</v>
      </c>
      <c r="I10" s="682">
        <f>tertiair!H16</f>
        <v>0</v>
      </c>
      <c r="J10" s="682">
        <f>tertiair!I16</f>
        <v>0</v>
      </c>
      <c r="K10" s="682">
        <f>tertiair!J16</f>
        <v>4.7182511831298547E-2</v>
      </c>
      <c r="L10" s="682">
        <f>tertiair!K16</f>
        <v>0</v>
      </c>
      <c r="M10" s="682">
        <f ca="1">tertiair!L16</f>
        <v>0</v>
      </c>
      <c r="N10" s="682">
        <f>tertiair!M16</f>
        <v>0</v>
      </c>
      <c r="O10" s="682">
        <f ca="1">tertiair!N16</f>
        <v>1724.8348271318171</v>
      </c>
      <c r="P10" s="682">
        <f>tertiair!O16</f>
        <v>9.7945215316823084</v>
      </c>
      <c r="Q10" s="683">
        <f>tertiair!P16</f>
        <v>472.85224475845519</v>
      </c>
      <c r="R10" s="685">
        <f ca="1">SUM(C10:Q10)</f>
        <v>66473.552855198126</v>
      </c>
      <c r="S10" s="67"/>
    </row>
    <row r="11" spans="1:19" s="445" customFormat="1">
      <c r="A11" s="803" t="s">
        <v>220</v>
      </c>
      <c r="B11" s="808"/>
      <c r="C11" s="682">
        <f>huishoudens!B8</f>
        <v>42826.201587383242</v>
      </c>
      <c r="D11" s="682">
        <f>huishoudens!C8</f>
        <v>0</v>
      </c>
      <c r="E11" s="682">
        <f>huishoudens!D8</f>
        <v>77815.523946867528</v>
      </c>
      <c r="F11" s="682">
        <f>huishoudens!E8</f>
        <v>2224.4929094669005</v>
      </c>
      <c r="G11" s="682">
        <f>huishoudens!F8</f>
        <v>50526.866353588717</v>
      </c>
      <c r="H11" s="682">
        <f>huishoudens!G8</f>
        <v>0</v>
      </c>
      <c r="I11" s="682">
        <f>huishoudens!H8</f>
        <v>0</v>
      </c>
      <c r="J11" s="682">
        <f>huishoudens!I8</f>
        <v>0</v>
      </c>
      <c r="K11" s="682">
        <f>huishoudens!J8</f>
        <v>252.7773875058794</v>
      </c>
      <c r="L11" s="682">
        <f>huishoudens!K8</f>
        <v>0</v>
      </c>
      <c r="M11" s="682">
        <f>huishoudens!L8</f>
        <v>0</v>
      </c>
      <c r="N11" s="682">
        <f>huishoudens!M8</f>
        <v>0</v>
      </c>
      <c r="O11" s="682">
        <f>huishoudens!N8</f>
        <v>12629.698850922174</v>
      </c>
      <c r="P11" s="682">
        <f>huishoudens!O8</f>
        <v>835.24641036194032</v>
      </c>
      <c r="Q11" s="683">
        <f>huishoudens!P8</f>
        <v>990.19217492239204</v>
      </c>
      <c r="R11" s="685">
        <f>SUM(C11:Q11)</f>
        <v>188100.99962101877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18180.783878200495</v>
      </c>
      <c r="D13" s="682">
        <f>industrie!C18</f>
        <v>0</v>
      </c>
      <c r="E13" s="682">
        <f>industrie!D18</f>
        <v>60410.045838796519</v>
      </c>
      <c r="F13" s="682">
        <f>industrie!E18</f>
        <v>136.98141914223731</v>
      </c>
      <c r="G13" s="682">
        <f>industrie!F18</f>
        <v>4328.5328525680179</v>
      </c>
      <c r="H13" s="682">
        <f>industrie!G18</f>
        <v>0</v>
      </c>
      <c r="I13" s="682">
        <f>industrie!H18</f>
        <v>0</v>
      </c>
      <c r="J13" s="682">
        <f>industrie!I18</f>
        <v>0</v>
      </c>
      <c r="K13" s="682">
        <f>industrie!J18</f>
        <v>12.390523797701274</v>
      </c>
      <c r="L13" s="682">
        <f>industrie!K18</f>
        <v>0</v>
      </c>
      <c r="M13" s="682">
        <f>industrie!L18</f>
        <v>0</v>
      </c>
      <c r="N13" s="682">
        <f>industrie!M18</f>
        <v>0</v>
      </c>
      <c r="O13" s="682">
        <f>industrie!N18</f>
        <v>464.73975382641356</v>
      </c>
      <c r="P13" s="682">
        <f>industrie!O18</f>
        <v>0</v>
      </c>
      <c r="Q13" s="683">
        <f>industrie!P18</f>
        <v>0</v>
      </c>
      <c r="R13" s="685">
        <f>SUM(C13:Q13)</f>
        <v>83533.474266331395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89258.763109284919</v>
      </c>
      <c r="D16" s="718">
        <f t="shared" ref="D16:R16" ca="1" si="0">SUM(D9:D15)</f>
        <v>0</v>
      </c>
      <c r="E16" s="718">
        <f t="shared" ca="1" si="0"/>
        <v>169229.11832876867</v>
      </c>
      <c r="F16" s="718">
        <f t="shared" si="0"/>
        <v>2464.5676327733408</v>
      </c>
      <c r="G16" s="718">
        <f t="shared" ca="1" si="0"/>
        <v>59763.003794451062</v>
      </c>
      <c r="H16" s="718">
        <f t="shared" si="0"/>
        <v>0</v>
      </c>
      <c r="I16" s="718">
        <f t="shared" si="0"/>
        <v>0</v>
      </c>
      <c r="J16" s="718">
        <f t="shared" si="0"/>
        <v>0</v>
      </c>
      <c r="K16" s="718">
        <f t="shared" si="0"/>
        <v>265.21509381541199</v>
      </c>
      <c r="L16" s="718">
        <f t="shared" si="0"/>
        <v>0</v>
      </c>
      <c r="M16" s="718">
        <f t="shared" ca="1" si="0"/>
        <v>0</v>
      </c>
      <c r="N16" s="718">
        <f t="shared" si="0"/>
        <v>0</v>
      </c>
      <c r="O16" s="718">
        <f t="shared" ca="1" si="0"/>
        <v>14819.273431880405</v>
      </c>
      <c r="P16" s="718">
        <f t="shared" si="0"/>
        <v>845.04093189362266</v>
      </c>
      <c r="Q16" s="718">
        <f t="shared" si="0"/>
        <v>1463.0444196808471</v>
      </c>
      <c r="R16" s="718">
        <f t="shared" ca="1" si="0"/>
        <v>338108.02674254827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24.544480478957759</v>
      </c>
      <c r="D19" s="682">
        <f>transport!C54</f>
        <v>0</v>
      </c>
      <c r="E19" s="682">
        <f>transport!D54</f>
        <v>0</v>
      </c>
      <c r="F19" s="682">
        <f>transport!E54</f>
        <v>0</v>
      </c>
      <c r="G19" s="682">
        <f>transport!F54</f>
        <v>0</v>
      </c>
      <c r="H19" s="682">
        <f>transport!G54</f>
        <v>1751.9407687352893</v>
      </c>
      <c r="I19" s="682">
        <f>transport!H54</f>
        <v>0</v>
      </c>
      <c r="J19" s="682">
        <f>transport!I54</f>
        <v>0</v>
      </c>
      <c r="K19" s="682">
        <f>transport!J54</f>
        <v>0</v>
      </c>
      <c r="L19" s="682">
        <f>transport!K54</f>
        <v>0</v>
      </c>
      <c r="M19" s="682">
        <f>transport!L54</f>
        <v>0</v>
      </c>
      <c r="N19" s="682">
        <f>transport!M54</f>
        <v>96.739705753718212</v>
      </c>
      <c r="O19" s="682">
        <f>transport!N54</f>
        <v>0</v>
      </c>
      <c r="P19" s="682">
        <f>transport!O54</f>
        <v>0</v>
      </c>
      <c r="Q19" s="683">
        <f>transport!P54</f>
        <v>0</v>
      </c>
      <c r="R19" s="685">
        <f>SUM(C19:Q19)</f>
        <v>1873.2249549679652</v>
      </c>
      <c r="S19" s="67"/>
    </row>
    <row r="20" spans="1:19" s="445" customFormat="1">
      <c r="A20" s="803" t="s">
        <v>302</v>
      </c>
      <c r="B20" s="808"/>
      <c r="C20" s="682">
        <f>transport!B14</f>
        <v>348.69628536575982</v>
      </c>
      <c r="D20" s="682">
        <f>transport!C14</f>
        <v>0</v>
      </c>
      <c r="E20" s="682">
        <f>transport!D14</f>
        <v>565.75414384810017</v>
      </c>
      <c r="F20" s="682">
        <f>transport!E14</f>
        <v>344.56027182210482</v>
      </c>
      <c r="G20" s="682">
        <f>transport!F14</f>
        <v>0</v>
      </c>
      <c r="H20" s="682">
        <f>transport!G14</f>
        <v>164340.53440160037</v>
      </c>
      <c r="I20" s="682">
        <f>transport!H14</f>
        <v>35173.076023420916</v>
      </c>
      <c r="J20" s="682">
        <f>transport!I14</f>
        <v>0</v>
      </c>
      <c r="K20" s="682">
        <f>transport!J14</f>
        <v>0</v>
      </c>
      <c r="L20" s="682">
        <f>transport!K14</f>
        <v>0</v>
      </c>
      <c r="M20" s="682">
        <f>transport!L14</f>
        <v>0</v>
      </c>
      <c r="N20" s="682">
        <f>transport!M14</f>
        <v>11697.696328547036</v>
      </c>
      <c r="O20" s="682">
        <f>transport!N14</f>
        <v>0</v>
      </c>
      <c r="P20" s="682">
        <f>transport!O14</f>
        <v>0</v>
      </c>
      <c r="Q20" s="683">
        <f>transport!P14</f>
        <v>0</v>
      </c>
      <c r="R20" s="685">
        <f>SUM(C20:Q20)</f>
        <v>212470.31745460426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373.2407658447176</v>
      </c>
      <c r="D22" s="806">
        <f t="shared" ref="D22:R22" si="1">SUM(D18:D21)</f>
        <v>0</v>
      </c>
      <c r="E22" s="806">
        <f t="shared" si="1"/>
        <v>565.75414384810017</v>
      </c>
      <c r="F22" s="806">
        <f t="shared" si="1"/>
        <v>344.56027182210482</v>
      </c>
      <c r="G22" s="806">
        <f t="shared" si="1"/>
        <v>0</v>
      </c>
      <c r="H22" s="806">
        <f t="shared" si="1"/>
        <v>166092.47517033565</v>
      </c>
      <c r="I22" s="806">
        <f t="shared" si="1"/>
        <v>35173.076023420916</v>
      </c>
      <c r="J22" s="806">
        <f t="shared" si="1"/>
        <v>0</v>
      </c>
      <c r="K22" s="806">
        <f t="shared" si="1"/>
        <v>0</v>
      </c>
      <c r="L22" s="806">
        <f t="shared" si="1"/>
        <v>0</v>
      </c>
      <c r="M22" s="806">
        <f t="shared" si="1"/>
        <v>0</v>
      </c>
      <c r="N22" s="806">
        <f t="shared" si="1"/>
        <v>11794.436034300754</v>
      </c>
      <c r="O22" s="806">
        <f t="shared" si="1"/>
        <v>0</v>
      </c>
      <c r="P22" s="806">
        <f t="shared" si="1"/>
        <v>0</v>
      </c>
      <c r="Q22" s="806">
        <f t="shared" si="1"/>
        <v>0</v>
      </c>
      <c r="R22" s="806">
        <f t="shared" si="1"/>
        <v>214343.54240957223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4852.6680779012895</v>
      </c>
      <c r="D24" s="682">
        <f>+landbouw!C8</f>
        <v>27006.428571428572</v>
      </c>
      <c r="E24" s="682">
        <f>+landbouw!D8</f>
        <v>12292.043833319403</v>
      </c>
      <c r="F24" s="682">
        <f>+landbouw!E8</f>
        <v>180.97083587773443</v>
      </c>
      <c r="G24" s="682">
        <f>+landbouw!F8</f>
        <v>15743.930389468527</v>
      </c>
      <c r="H24" s="682">
        <f>+landbouw!G8</f>
        <v>0</v>
      </c>
      <c r="I24" s="682">
        <f>+landbouw!H8</f>
        <v>0</v>
      </c>
      <c r="J24" s="682">
        <f>+landbouw!I8</f>
        <v>0</v>
      </c>
      <c r="K24" s="682">
        <f>+landbouw!J8</f>
        <v>1273.8493276207394</v>
      </c>
      <c r="L24" s="682">
        <f>+landbouw!K8</f>
        <v>0</v>
      </c>
      <c r="M24" s="682">
        <f>+landbouw!L8</f>
        <v>0</v>
      </c>
      <c r="N24" s="682">
        <f>+landbouw!M8</f>
        <v>0</v>
      </c>
      <c r="O24" s="682">
        <f>+landbouw!N8</f>
        <v>0</v>
      </c>
      <c r="P24" s="682">
        <f>+landbouw!O8</f>
        <v>0</v>
      </c>
      <c r="Q24" s="683">
        <f>+landbouw!P8</f>
        <v>0</v>
      </c>
      <c r="R24" s="685">
        <f>SUM(C24:Q24)</f>
        <v>61349.891035616267</v>
      </c>
      <c r="S24" s="67"/>
    </row>
    <row r="25" spans="1:19" s="445" customFormat="1" ht="15" thickBot="1">
      <c r="A25" s="825" t="s">
        <v>703</v>
      </c>
      <c r="B25" s="938"/>
      <c r="C25" s="939">
        <f>IF(Onbekend_ele_kWh="---",0,Onbekend_ele_kWh)/1000+IF(REST_rest_ele_kWh="---",0,REST_rest_ele_kWh)/1000</f>
        <v>925.99803295098309</v>
      </c>
      <c r="D25" s="939"/>
      <c r="E25" s="939">
        <f>IF(onbekend_gas_kWh="---",0,onbekend_gas_kWh)/1000+IF(REST_rest_gas_kWh="---",0,REST_rest_gas_kWh)/1000</f>
        <v>1811.84383798456</v>
      </c>
      <c r="F25" s="939"/>
      <c r="G25" s="939"/>
      <c r="H25" s="939"/>
      <c r="I25" s="939"/>
      <c r="J25" s="939"/>
      <c r="K25" s="939"/>
      <c r="L25" s="939"/>
      <c r="M25" s="939"/>
      <c r="N25" s="939"/>
      <c r="O25" s="939"/>
      <c r="P25" s="939"/>
      <c r="Q25" s="940"/>
      <c r="R25" s="685">
        <f>SUM(C25:Q25)</f>
        <v>2737.8418709355428</v>
      </c>
      <c r="S25" s="67"/>
    </row>
    <row r="26" spans="1:19" s="445" customFormat="1" ht="15.75" thickBot="1">
      <c r="A26" s="690" t="s">
        <v>704</v>
      </c>
      <c r="B26" s="811"/>
      <c r="C26" s="806">
        <f>SUM(C24:C25)</f>
        <v>5778.6661108522731</v>
      </c>
      <c r="D26" s="806">
        <f t="shared" ref="D26:R26" si="2">SUM(D24:D25)</f>
        <v>27006.428571428572</v>
      </c>
      <c r="E26" s="806">
        <f t="shared" si="2"/>
        <v>14103.887671303963</v>
      </c>
      <c r="F26" s="806">
        <f t="shared" si="2"/>
        <v>180.97083587773443</v>
      </c>
      <c r="G26" s="806">
        <f t="shared" si="2"/>
        <v>15743.930389468527</v>
      </c>
      <c r="H26" s="806">
        <f t="shared" si="2"/>
        <v>0</v>
      </c>
      <c r="I26" s="806">
        <f t="shared" si="2"/>
        <v>0</v>
      </c>
      <c r="J26" s="806">
        <f t="shared" si="2"/>
        <v>0</v>
      </c>
      <c r="K26" s="806">
        <f t="shared" si="2"/>
        <v>1273.8493276207394</v>
      </c>
      <c r="L26" s="806">
        <f t="shared" si="2"/>
        <v>0</v>
      </c>
      <c r="M26" s="806">
        <f t="shared" si="2"/>
        <v>0</v>
      </c>
      <c r="N26" s="806">
        <f t="shared" si="2"/>
        <v>0</v>
      </c>
      <c r="O26" s="806">
        <f t="shared" si="2"/>
        <v>0</v>
      </c>
      <c r="P26" s="806">
        <f t="shared" si="2"/>
        <v>0</v>
      </c>
      <c r="Q26" s="806">
        <f t="shared" si="2"/>
        <v>0</v>
      </c>
      <c r="R26" s="806">
        <f t="shared" si="2"/>
        <v>64087.732906551813</v>
      </c>
      <c r="S26" s="67"/>
    </row>
    <row r="27" spans="1:19" s="445" customFormat="1" ht="17.25" thickTop="1" thickBot="1">
      <c r="A27" s="691" t="s">
        <v>115</v>
      </c>
      <c r="B27" s="798"/>
      <c r="C27" s="692">
        <f ca="1">C22+C16+C26</f>
        <v>95410.669985981905</v>
      </c>
      <c r="D27" s="692">
        <f t="shared" ref="D27:R27" ca="1" si="3">D22+D16+D26</f>
        <v>27006.428571428572</v>
      </c>
      <c r="E27" s="692">
        <f t="shared" ca="1" si="3"/>
        <v>183898.76014392075</v>
      </c>
      <c r="F27" s="692">
        <f t="shared" si="3"/>
        <v>2990.09874047318</v>
      </c>
      <c r="G27" s="692">
        <f t="shared" ca="1" si="3"/>
        <v>75506.934183919584</v>
      </c>
      <c r="H27" s="692">
        <f t="shared" si="3"/>
        <v>166092.47517033565</v>
      </c>
      <c r="I27" s="692">
        <f t="shared" si="3"/>
        <v>35173.076023420916</v>
      </c>
      <c r="J27" s="692">
        <f t="shared" si="3"/>
        <v>0</v>
      </c>
      <c r="K27" s="692">
        <f t="shared" si="3"/>
        <v>1539.0644214361514</v>
      </c>
      <c r="L27" s="692">
        <f t="shared" si="3"/>
        <v>0</v>
      </c>
      <c r="M27" s="692">
        <f t="shared" ca="1" si="3"/>
        <v>0</v>
      </c>
      <c r="N27" s="692">
        <f t="shared" si="3"/>
        <v>11794.436034300754</v>
      </c>
      <c r="O27" s="692">
        <f t="shared" ca="1" si="3"/>
        <v>14819.273431880405</v>
      </c>
      <c r="P27" s="692">
        <f t="shared" si="3"/>
        <v>845.04093189362266</v>
      </c>
      <c r="Q27" s="692">
        <f t="shared" si="3"/>
        <v>1463.0444196808471</v>
      </c>
      <c r="R27" s="692">
        <f t="shared" ca="1" si="3"/>
        <v>616539.3020586723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5244.4095968572219</v>
      </c>
      <c r="D40" s="682">
        <f ca="1">tertiair!C20</f>
        <v>0</v>
      </c>
      <c r="E40" s="682">
        <f ca="1">tertiair!D20</f>
        <v>6262.716805707134</v>
      </c>
      <c r="F40" s="682">
        <f>tertiair!E20</f>
        <v>23.402180045274019</v>
      </c>
      <c r="G40" s="682">
        <f ca="1">tertiair!F20</f>
        <v>1310.3304250745855</v>
      </c>
      <c r="H40" s="682">
        <f>tertiair!G20</f>
        <v>0</v>
      </c>
      <c r="I40" s="682">
        <f>tertiair!H20</f>
        <v>0</v>
      </c>
      <c r="J40" s="682">
        <f>tertiair!I20</f>
        <v>0</v>
      </c>
      <c r="K40" s="682">
        <f>tertiair!J20</f>
        <v>1.6702609188279684E-2</v>
      </c>
      <c r="L40" s="682">
        <f>tertiair!K20</f>
        <v>0</v>
      </c>
      <c r="M40" s="682">
        <f ca="1">tertiair!L20</f>
        <v>0</v>
      </c>
      <c r="N40" s="682">
        <f>tertiair!M20</f>
        <v>0</v>
      </c>
      <c r="O40" s="682">
        <f ca="1">tertiair!N20</f>
        <v>0</v>
      </c>
      <c r="P40" s="682">
        <f>tertiair!O20</f>
        <v>0</v>
      </c>
      <c r="Q40" s="765">
        <f>tertiair!P20</f>
        <v>0</v>
      </c>
      <c r="R40" s="844">
        <f t="shared" ca="1" si="4"/>
        <v>12840.875710293403</v>
      </c>
    </row>
    <row r="41" spans="1:18">
      <c r="A41" s="816" t="s">
        <v>220</v>
      </c>
      <c r="B41" s="823"/>
      <c r="C41" s="682">
        <f ca="1">huishoudens!B12</f>
        <v>7949.8764797863787</v>
      </c>
      <c r="D41" s="682">
        <f ca="1">huishoudens!C12</f>
        <v>0</v>
      </c>
      <c r="E41" s="682">
        <f>huishoudens!D12</f>
        <v>15718.735837267242</v>
      </c>
      <c r="F41" s="682">
        <f>huishoudens!E12</f>
        <v>504.95989044898641</v>
      </c>
      <c r="G41" s="682">
        <f>huishoudens!F12</f>
        <v>13490.673316408189</v>
      </c>
      <c r="H41" s="682">
        <f>huishoudens!G12</f>
        <v>0</v>
      </c>
      <c r="I41" s="682">
        <f>huishoudens!H12</f>
        <v>0</v>
      </c>
      <c r="J41" s="682">
        <f>huishoudens!I12</f>
        <v>0</v>
      </c>
      <c r="K41" s="682">
        <f>huishoudens!J12</f>
        <v>89.483195177081299</v>
      </c>
      <c r="L41" s="682">
        <f>huishoudens!K12</f>
        <v>0</v>
      </c>
      <c r="M41" s="682">
        <f>huishoudens!L12</f>
        <v>0</v>
      </c>
      <c r="N41" s="682">
        <f>huishoudens!M12</f>
        <v>0</v>
      </c>
      <c r="O41" s="682">
        <f>huishoudens!N12</f>
        <v>0</v>
      </c>
      <c r="P41" s="682">
        <f>huishoudens!O12</f>
        <v>0</v>
      </c>
      <c r="Q41" s="765">
        <f>huishoudens!P12</f>
        <v>0</v>
      </c>
      <c r="R41" s="844">
        <f t="shared" ca="1" si="4"/>
        <v>37753.728719087878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3374.9195768033287</v>
      </c>
      <c r="D43" s="682">
        <f ca="1">industrie!C22</f>
        <v>0</v>
      </c>
      <c r="E43" s="682">
        <f>industrie!D22</f>
        <v>12202.829259436898</v>
      </c>
      <c r="F43" s="682">
        <f>industrie!E22</f>
        <v>31.094782145287873</v>
      </c>
      <c r="G43" s="682">
        <f>industrie!F22</f>
        <v>1155.7182716356608</v>
      </c>
      <c r="H43" s="682">
        <f>industrie!G22</f>
        <v>0</v>
      </c>
      <c r="I43" s="682">
        <f>industrie!H22</f>
        <v>0</v>
      </c>
      <c r="J43" s="682">
        <f>industrie!I22</f>
        <v>0</v>
      </c>
      <c r="K43" s="682">
        <f>industrie!J22</f>
        <v>4.3862454243862503</v>
      </c>
      <c r="L43" s="682">
        <f>industrie!K22</f>
        <v>0</v>
      </c>
      <c r="M43" s="682">
        <f>industrie!L22</f>
        <v>0</v>
      </c>
      <c r="N43" s="682">
        <f>industrie!M22</f>
        <v>0</v>
      </c>
      <c r="O43" s="682">
        <f>industrie!N22</f>
        <v>0</v>
      </c>
      <c r="P43" s="682">
        <f>industrie!O22</f>
        <v>0</v>
      </c>
      <c r="Q43" s="765">
        <f>industrie!P22</f>
        <v>0</v>
      </c>
      <c r="R43" s="843">
        <f t="shared" ca="1" si="4"/>
        <v>16768.94813544556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16569.20565344693</v>
      </c>
      <c r="D46" s="718">
        <f t="shared" ref="D46:Q46" ca="1" si="5">SUM(D39:D45)</f>
        <v>0</v>
      </c>
      <c r="E46" s="718">
        <f t="shared" ca="1" si="5"/>
        <v>34184.281902411276</v>
      </c>
      <c r="F46" s="718">
        <f t="shared" si="5"/>
        <v>559.4568526395484</v>
      </c>
      <c r="G46" s="718">
        <f t="shared" ca="1" si="5"/>
        <v>15956.722013118435</v>
      </c>
      <c r="H46" s="718">
        <f t="shared" si="5"/>
        <v>0</v>
      </c>
      <c r="I46" s="718">
        <f t="shared" si="5"/>
        <v>0</v>
      </c>
      <c r="J46" s="718">
        <f t="shared" si="5"/>
        <v>0</v>
      </c>
      <c r="K46" s="718">
        <f t="shared" si="5"/>
        <v>93.886143210655831</v>
      </c>
      <c r="L46" s="718">
        <f t="shared" si="5"/>
        <v>0</v>
      </c>
      <c r="M46" s="718">
        <f t="shared" ca="1" si="5"/>
        <v>0</v>
      </c>
      <c r="N46" s="718">
        <f t="shared" si="5"/>
        <v>0</v>
      </c>
      <c r="O46" s="718">
        <f t="shared" ca="1" si="5"/>
        <v>0</v>
      </c>
      <c r="P46" s="718">
        <f t="shared" si="5"/>
        <v>0</v>
      </c>
      <c r="Q46" s="718">
        <f t="shared" si="5"/>
        <v>0</v>
      </c>
      <c r="R46" s="718">
        <f ca="1">SUM(R39:R45)</f>
        <v>67363.552564826838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4.5562198102043894</v>
      </c>
      <c r="D49" s="682">
        <f ca="1">transport!C58</f>
        <v>0</v>
      </c>
      <c r="E49" s="682">
        <f>transport!D58</f>
        <v>0</v>
      </c>
      <c r="F49" s="682">
        <f>transport!E58</f>
        <v>0</v>
      </c>
      <c r="G49" s="682">
        <f>transport!F58</f>
        <v>0</v>
      </c>
      <c r="H49" s="682">
        <f>transport!G58</f>
        <v>467.76818525232227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472.32440506252664</v>
      </c>
    </row>
    <row r="50" spans="1:18">
      <c r="A50" s="819" t="s">
        <v>302</v>
      </c>
      <c r="B50" s="829"/>
      <c r="C50" s="688">
        <f ca="1">transport!B18</f>
        <v>64.728887803928004</v>
      </c>
      <c r="D50" s="688">
        <f>transport!C18</f>
        <v>0</v>
      </c>
      <c r="E50" s="688">
        <f>transport!D18</f>
        <v>114.28233705731624</v>
      </c>
      <c r="F50" s="688">
        <f>transport!E18</f>
        <v>78.215181703617802</v>
      </c>
      <c r="G50" s="688">
        <f>transport!F18</f>
        <v>0</v>
      </c>
      <c r="H50" s="688">
        <f>transport!G18</f>
        <v>43878.922685227299</v>
      </c>
      <c r="I50" s="688">
        <f>transport!H18</f>
        <v>8758.0959298318085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52894.245021623967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69.285107614132386</v>
      </c>
      <c r="D52" s="718">
        <f t="shared" ref="D52:Q52" ca="1" si="6">SUM(D48:D51)</f>
        <v>0</v>
      </c>
      <c r="E52" s="718">
        <f t="shared" si="6"/>
        <v>114.28233705731624</v>
      </c>
      <c r="F52" s="718">
        <f t="shared" si="6"/>
        <v>78.215181703617802</v>
      </c>
      <c r="G52" s="718">
        <f t="shared" si="6"/>
        <v>0</v>
      </c>
      <c r="H52" s="718">
        <f t="shared" si="6"/>
        <v>44346.690870479622</v>
      </c>
      <c r="I52" s="718">
        <f t="shared" si="6"/>
        <v>8758.0959298318085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53366.569426686496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900.80629116738874</v>
      </c>
      <c r="D54" s="688">
        <f ca="1">+landbouw!C12</f>
        <v>6417.9983193277312</v>
      </c>
      <c r="E54" s="688">
        <f>+landbouw!D12</f>
        <v>2482.9928543305195</v>
      </c>
      <c r="F54" s="688">
        <f>+landbouw!E12</f>
        <v>41.080379744245718</v>
      </c>
      <c r="G54" s="688">
        <f>+landbouw!F12</f>
        <v>4203.6294139880974</v>
      </c>
      <c r="H54" s="688">
        <f>+landbouw!G12</f>
        <v>0</v>
      </c>
      <c r="I54" s="688">
        <f>+landbouw!H12</f>
        <v>0</v>
      </c>
      <c r="J54" s="688">
        <f>+landbouw!I12</f>
        <v>0</v>
      </c>
      <c r="K54" s="688">
        <f>+landbouw!J12</f>
        <v>450.94266197774169</v>
      </c>
      <c r="L54" s="688">
        <f>+landbouw!K12</f>
        <v>0</v>
      </c>
      <c r="M54" s="688">
        <f>+landbouw!L12</f>
        <v>0</v>
      </c>
      <c r="N54" s="688">
        <f>+landbouw!M12</f>
        <v>0</v>
      </c>
      <c r="O54" s="688">
        <f>+landbouw!N12</f>
        <v>0</v>
      </c>
      <c r="P54" s="688">
        <f>+landbouw!O12</f>
        <v>0</v>
      </c>
      <c r="Q54" s="689">
        <f>+landbouw!P12</f>
        <v>0</v>
      </c>
      <c r="R54" s="717">
        <f ca="1">SUM(C54:Q54)</f>
        <v>14497.449920535724</v>
      </c>
    </row>
    <row r="55" spans="1:18" ht="15" thickBot="1">
      <c r="A55" s="819" t="s">
        <v>703</v>
      </c>
      <c r="B55" s="829"/>
      <c r="C55" s="688">
        <f ca="1">C25*'EF ele_warmte'!B12</f>
        <v>171.8940674078884</v>
      </c>
      <c r="D55" s="688"/>
      <c r="E55" s="688">
        <f>E25*EF_CO2_aardgas</f>
        <v>365.99245527288116</v>
      </c>
      <c r="F55" s="688"/>
      <c r="G55" s="688"/>
      <c r="H55" s="688"/>
      <c r="I55" s="688"/>
      <c r="J55" s="688"/>
      <c r="K55" s="688"/>
      <c r="L55" s="688"/>
      <c r="M55" s="688"/>
      <c r="N55" s="688"/>
      <c r="O55" s="688"/>
      <c r="P55" s="688"/>
      <c r="Q55" s="689"/>
      <c r="R55" s="717">
        <f ca="1">SUM(C55:Q55)</f>
        <v>537.88652268076953</v>
      </c>
    </row>
    <row r="56" spans="1:18" ht="15.75" thickBot="1">
      <c r="A56" s="817" t="s">
        <v>704</v>
      </c>
      <c r="B56" s="830"/>
      <c r="C56" s="718">
        <f ca="1">SUM(C54:C55)</f>
        <v>1072.7003585752771</v>
      </c>
      <c r="D56" s="718">
        <f t="shared" ref="D56:Q56" ca="1" si="7">SUM(D54:D55)</f>
        <v>6417.9983193277312</v>
      </c>
      <c r="E56" s="718">
        <f t="shared" si="7"/>
        <v>2848.9853096034008</v>
      </c>
      <c r="F56" s="718">
        <f t="shared" si="7"/>
        <v>41.080379744245718</v>
      </c>
      <c r="G56" s="718">
        <f t="shared" si="7"/>
        <v>4203.6294139880974</v>
      </c>
      <c r="H56" s="718">
        <f t="shared" si="7"/>
        <v>0</v>
      </c>
      <c r="I56" s="718">
        <f t="shared" si="7"/>
        <v>0</v>
      </c>
      <c r="J56" s="718">
        <f t="shared" si="7"/>
        <v>0</v>
      </c>
      <c r="K56" s="718">
        <f t="shared" si="7"/>
        <v>450.94266197774169</v>
      </c>
      <c r="L56" s="718">
        <f t="shared" si="7"/>
        <v>0</v>
      </c>
      <c r="M56" s="718">
        <f t="shared" si="7"/>
        <v>0</v>
      </c>
      <c r="N56" s="718">
        <f t="shared" si="7"/>
        <v>0</v>
      </c>
      <c r="O56" s="718">
        <f t="shared" si="7"/>
        <v>0</v>
      </c>
      <c r="P56" s="718">
        <f t="shared" si="7"/>
        <v>0</v>
      </c>
      <c r="Q56" s="719">
        <f t="shared" si="7"/>
        <v>0</v>
      </c>
      <c r="R56" s="720">
        <f ca="1">SUM(R54:R55)</f>
        <v>15035.336443216494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17711.19111963634</v>
      </c>
      <c r="D61" s="726">
        <f t="shared" ref="D61:Q61" ca="1" si="8">D46+D52+D56</f>
        <v>6417.9983193277312</v>
      </c>
      <c r="E61" s="726">
        <f t="shared" ca="1" si="8"/>
        <v>37147.549549071991</v>
      </c>
      <c r="F61" s="726">
        <f t="shared" si="8"/>
        <v>678.75241408741192</v>
      </c>
      <c r="G61" s="726">
        <f t="shared" ca="1" si="8"/>
        <v>20160.351427106532</v>
      </c>
      <c r="H61" s="726">
        <f t="shared" si="8"/>
        <v>44346.690870479622</v>
      </c>
      <c r="I61" s="726">
        <f t="shared" si="8"/>
        <v>8758.0959298318085</v>
      </c>
      <c r="J61" s="726">
        <f t="shared" si="8"/>
        <v>0</v>
      </c>
      <c r="K61" s="726">
        <f t="shared" si="8"/>
        <v>544.8288051883975</v>
      </c>
      <c r="L61" s="726">
        <f t="shared" si="8"/>
        <v>0</v>
      </c>
      <c r="M61" s="726">
        <f t="shared" ca="1" si="8"/>
        <v>0</v>
      </c>
      <c r="N61" s="726">
        <f t="shared" si="8"/>
        <v>0</v>
      </c>
      <c r="O61" s="726">
        <f t="shared" ca="1" si="8"/>
        <v>0</v>
      </c>
      <c r="P61" s="726">
        <f t="shared" si="8"/>
        <v>0</v>
      </c>
      <c r="Q61" s="726">
        <f t="shared" si="8"/>
        <v>0</v>
      </c>
      <c r="R61" s="726">
        <f ca="1">R46+R52+R56</f>
        <v>135765.45843472981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0.18563113666677464</v>
      </c>
      <c r="D63" s="772">
        <f t="shared" ca="1" si="9"/>
        <v>0.23764705882352941</v>
      </c>
      <c r="E63" s="964">
        <f t="shared" ca="1" si="9"/>
        <v>0.20200000000000001</v>
      </c>
      <c r="F63" s="772">
        <f t="shared" si="9"/>
        <v>0.22700000000000004</v>
      </c>
      <c r="G63" s="772">
        <f t="shared" ca="1" si="9"/>
        <v>0.26700000000000007</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3357.1307036341532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13336.404458334513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18904.5</v>
      </c>
      <c r="D76" s="947">
        <f>'lokale energieproductie'!C8</f>
        <v>22240.588235294119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4492.5988235294126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16693.535161968666</v>
      </c>
      <c r="C78" s="744">
        <f>SUM(C72:C77)</f>
        <v>18904.5</v>
      </c>
      <c r="D78" s="745">
        <f t="shared" ref="D78:H78" si="10">SUM(D76:D77)</f>
        <v>22240.588235294119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4492.5988235294126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27006.428571428572</v>
      </c>
      <c r="D87" s="768">
        <f>'lokale energieproductie'!C17</f>
        <v>31772.268907563026</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6417.9983193277312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27006.428571428572</v>
      </c>
      <c r="D90" s="744">
        <f t="shared" ref="D90:H90" si="12">SUM(D87:D89)</f>
        <v>31772.268907563026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6417.9983193277312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42826.201587383242</v>
      </c>
      <c r="C4" s="449">
        <f>huishoudens!C8</f>
        <v>0</v>
      </c>
      <c r="D4" s="449">
        <f>huishoudens!D8</f>
        <v>77815.523946867528</v>
      </c>
      <c r="E4" s="449">
        <f>huishoudens!E8</f>
        <v>2224.4929094669005</v>
      </c>
      <c r="F4" s="449">
        <f>huishoudens!F8</f>
        <v>50526.866353588717</v>
      </c>
      <c r="G4" s="449">
        <f>huishoudens!G8</f>
        <v>0</v>
      </c>
      <c r="H4" s="449">
        <f>huishoudens!H8</f>
        <v>0</v>
      </c>
      <c r="I4" s="449">
        <f>huishoudens!I8</f>
        <v>0</v>
      </c>
      <c r="J4" s="449">
        <f>huishoudens!J8</f>
        <v>252.7773875058794</v>
      </c>
      <c r="K4" s="449">
        <f>huishoudens!K8</f>
        <v>0</v>
      </c>
      <c r="L4" s="449">
        <f>huishoudens!L8</f>
        <v>0</v>
      </c>
      <c r="M4" s="449">
        <f>huishoudens!M8</f>
        <v>0</v>
      </c>
      <c r="N4" s="449">
        <f>huishoudens!N8</f>
        <v>12629.698850922174</v>
      </c>
      <c r="O4" s="449">
        <f>huishoudens!O8</f>
        <v>835.24641036194032</v>
      </c>
      <c r="P4" s="450">
        <f>huishoudens!P8</f>
        <v>990.19217492239204</v>
      </c>
      <c r="Q4" s="451">
        <f>SUM(B4:P4)</f>
        <v>188100.99962101877</v>
      </c>
    </row>
    <row r="5" spans="1:17">
      <c r="A5" s="448" t="s">
        <v>155</v>
      </c>
      <c r="B5" s="449">
        <f ca="1">tertiair!B16</f>
        <v>26745.79106487946</v>
      </c>
      <c r="C5" s="449">
        <f ca="1">tertiair!C16</f>
        <v>0</v>
      </c>
      <c r="D5" s="449">
        <f ca="1">tertiair!D16</f>
        <v>31003.548543104622</v>
      </c>
      <c r="E5" s="449">
        <f>tertiair!E16</f>
        <v>103.09330416420272</v>
      </c>
      <c r="F5" s="449">
        <f ca="1">tertiair!F16</f>
        <v>4907.6045882943272</v>
      </c>
      <c r="G5" s="449">
        <f>tertiair!G16</f>
        <v>0</v>
      </c>
      <c r="H5" s="449">
        <f>tertiair!H16</f>
        <v>0</v>
      </c>
      <c r="I5" s="449">
        <f>tertiair!I16</f>
        <v>0</v>
      </c>
      <c r="J5" s="449">
        <f>tertiair!J16</f>
        <v>4.7182511831298547E-2</v>
      </c>
      <c r="K5" s="449">
        <f>tertiair!K16</f>
        <v>0</v>
      </c>
      <c r="L5" s="449">
        <f ca="1">tertiair!L16</f>
        <v>0</v>
      </c>
      <c r="M5" s="449">
        <f>tertiair!M16</f>
        <v>0</v>
      </c>
      <c r="N5" s="449">
        <f ca="1">tertiair!N16</f>
        <v>1724.8348271318171</v>
      </c>
      <c r="O5" s="449">
        <f>tertiair!O16</f>
        <v>9.7945215316823084</v>
      </c>
      <c r="P5" s="450">
        <f>tertiair!P16</f>
        <v>472.85224475845519</v>
      </c>
      <c r="Q5" s="448">
        <f t="shared" ref="Q5:Q14" ca="1" si="0">SUM(B5:P5)</f>
        <v>64967.566276376398</v>
      </c>
    </row>
    <row r="6" spans="1:17">
      <c r="A6" s="448" t="s">
        <v>193</v>
      </c>
      <c r="B6" s="449">
        <f>'openbare verlichting'!B8</f>
        <v>1505.9865788217201</v>
      </c>
      <c r="C6" s="449"/>
      <c r="D6" s="449"/>
      <c r="E6" s="449"/>
      <c r="F6" s="449"/>
      <c r="G6" s="449"/>
      <c r="H6" s="449"/>
      <c r="I6" s="449"/>
      <c r="J6" s="449"/>
      <c r="K6" s="449"/>
      <c r="L6" s="449"/>
      <c r="M6" s="449"/>
      <c r="N6" s="449"/>
      <c r="O6" s="449"/>
      <c r="P6" s="450"/>
      <c r="Q6" s="448">
        <f t="shared" si="0"/>
        <v>1505.9865788217201</v>
      </c>
    </row>
    <row r="7" spans="1:17">
      <c r="A7" s="448" t="s">
        <v>111</v>
      </c>
      <c r="B7" s="449">
        <f>landbouw!B8</f>
        <v>4852.6680779012895</v>
      </c>
      <c r="C7" s="449">
        <f>landbouw!C8</f>
        <v>27006.428571428572</v>
      </c>
      <c r="D7" s="449">
        <f>landbouw!D8</f>
        <v>12292.043833319403</v>
      </c>
      <c r="E7" s="449">
        <f>landbouw!E8</f>
        <v>180.97083587773443</v>
      </c>
      <c r="F7" s="449">
        <f>landbouw!F8</f>
        <v>15743.930389468527</v>
      </c>
      <c r="G7" s="449">
        <f>landbouw!G8</f>
        <v>0</v>
      </c>
      <c r="H7" s="449">
        <f>landbouw!H8</f>
        <v>0</v>
      </c>
      <c r="I7" s="449">
        <f>landbouw!I8</f>
        <v>0</v>
      </c>
      <c r="J7" s="449">
        <f>landbouw!J8</f>
        <v>1273.8493276207394</v>
      </c>
      <c r="K7" s="449">
        <f>landbouw!K8</f>
        <v>0</v>
      </c>
      <c r="L7" s="449">
        <f>landbouw!L8</f>
        <v>0</v>
      </c>
      <c r="M7" s="449">
        <f>landbouw!M8</f>
        <v>0</v>
      </c>
      <c r="N7" s="449">
        <f>landbouw!N8</f>
        <v>0</v>
      </c>
      <c r="O7" s="449">
        <f>landbouw!O8</f>
        <v>0</v>
      </c>
      <c r="P7" s="450">
        <f>landbouw!P8</f>
        <v>0</v>
      </c>
      <c r="Q7" s="448">
        <f t="shared" si="0"/>
        <v>61349.891035616267</v>
      </c>
    </row>
    <row r="8" spans="1:17">
      <c r="A8" s="448" t="s">
        <v>618</v>
      </c>
      <c r="B8" s="449">
        <f>industrie!B18</f>
        <v>18180.783878200495</v>
      </c>
      <c r="C8" s="449">
        <f>industrie!C18</f>
        <v>0</v>
      </c>
      <c r="D8" s="449">
        <f>industrie!D18</f>
        <v>60410.045838796519</v>
      </c>
      <c r="E8" s="449">
        <f>industrie!E18</f>
        <v>136.98141914223731</v>
      </c>
      <c r="F8" s="449">
        <f>industrie!F18</f>
        <v>4328.5328525680179</v>
      </c>
      <c r="G8" s="449">
        <f>industrie!G18</f>
        <v>0</v>
      </c>
      <c r="H8" s="449">
        <f>industrie!H18</f>
        <v>0</v>
      </c>
      <c r="I8" s="449">
        <f>industrie!I18</f>
        <v>0</v>
      </c>
      <c r="J8" s="449">
        <f>industrie!J18</f>
        <v>12.390523797701274</v>
      </c>
      <c r="K8" s="449">
        <f>industrie!K18</f>
        <v>0</v>
      </c>
      <c r="L8" s="449">
        <f>industrie!L18</f>
        <v>0</v>
      </c>
      <c r="M8" s="449">
        <f>industrie!M18</f>
        <v>0</v>
      </c>
      <c r="N8" s="449">
        <f>industrie!N18</f>
        <v>464.73975382641356</v>
      </c>
      <c r="O8" s="449">
        <f>industrie!O18</f>
        <v>0</v>
      </c>
      <c r="P8" s="450">
        <f>industrie!P18</f>
        <v>0</v>
      </c>
      <c r="Q8" s="448">
        <f t="shared" si="0"/>
        <v>83533.474266331395</v>
      </c>
    </row>
    <row r="9" spans="1:17" s="454" customFormat="1">
      <c r="A9" s="452" t="s">
        <v>544</v>
      </c>
      <c r="B9" s="453">
        <f>transport!B14</f>
        <v>348.69628536575982</v>
      </c>
      <c r="C9" s="453">
        <f>transport!C14</f>
        <v>0</v>
      </c>
      <c r="D9" s="453">
        <f>transport!D14</f>
        <v>565.75414384810017</v>
      </c>
      <c r="E9" s="453">
        <f>transport!E14</f>
        <v>344.56027182210482</v>
      </c>
      <c r="F9" s="453">
        <f>transport!F14</f>
        <v>0</v>
      </c>
      <c r="G9" s="453">
        <f>transport!G14</f>
        <v>164340.53440160037</v>
      </c>
      <c r="H9" s="453">
        <f>transport!H14</f>
        <v>35173.076023420916</v>
      </c>
      <c r="I9" s="453">
        <f>transport!I14</f>
        <v>0</v>
      </c>
      <c r="J9" s="453">
        <f>transport!J14</f>
        <v>0</v>
      </c>
      <c r="K9" s="453">
        <f>transport!K14</f>
        <v>0</v>
      </c>
      <c r="L9" s="453">
        <f>transport!L14</f>
        <v>0</v>
      </c>
      <c r="M9" s="453">
        <f>transport!M14</f>
        <v>11697.696328547036</v>
      </c>
      <c r="N9" s="453">
        <f>transport!N14</f>
        <v>0</v>
      </c>
      <c r="O9" s="453">
        <f>transport!O14</f>
        <v>0</v>
      </c>
      <c r="P9" s="453">
        <f>transport!P14</f>
        <v>0</v>
      </c>
      <c r="Q9" s="452">
        <f>SUM(B9:P9)</f>
        <v>212470.31745460426</v>
      </c>
    </row>
    <row r="10" spans="1:17">
      <c r="A10" s="448" t="s">
        <v>534</v>
      </c>
      <c r="B10" s="449">
        <f>transport!B54</f>
        <v>24.544480478957759</v>
      </c>
      <c r="C10" s="449">
        <f>transport!C54</f>
        <v>0</v>
      </c>
      <c r="D10" s="449">
        <f>transport!D54</f>
        <v>0</v>
      </c>
      <c r="E10" s="449">
        <f>transport!E54</f>
        <v>0</v>
      </c>
      <c r="F10" s="449">
        <f>transport!F54</f>
        <v>0</v>
      </c>
      <c r="G10" s="449">
        <f>transport!G54</f>
        <v>1751.9407687352893</v>
      </c>
      <c r="H10" s="449">
        <f>transport!H54</f>
        <v>0</v>
      </c>
      <c r="I10" s="449">
        <f>transport!I54</f>
        <v>0</v>
      </c>
      <c r="J10" s="449">
        <f>transport!J54</f>
        <v>0</v>
      </c>
      <c r="K10" s="449">
        <f>transport!K54</f>
        <v>0</v>
      </c>
      <c r="L10" s="449">
        <f>transport!L54</f>
        <v>0</v>
      </c>
      <c r="M10" s="449">
        <f>transport!M54</f>
        <v>96.739705753718212</v>
      </c>
      <c r="N10" s="449">
        <f>transport!N54</f>
        <v>0</v>
      </c>
      <c r="O10" s="449">
        <f>transport!O54</f>
        <v>0</v>
      </c>
      <c r="P10" s="450">
        <f>transport!P54</f>
        <v>0</v>
      </c>
      <c r="Q10" s="448">
        <f t="shared" si="0"/>
        <v>1873.2249549679652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925.99803295098309</v>
      </c>
      <c r="C14" s="456"/>
      <c r="D14" s="456">
        <f>'SEAP template'!E25</f>
        <v>1811.84383798456</v>
      </c>
      <c r="E14" s="456"/>
      <c r="F14" s="456"/>
      <c r="G14" s="456"/>
      <c r="H14" s="456"/>
      <c r="I14" s="456"/>
      <c r="J14" s="456"/>
      <c r="K14" s="456"/>
      <c r="L14" s="456"/>
      <c r="M14" s="456"/>
      <c r="N14" s="456"/>
      <c r="O14" s="456"/>
      <c r="P14" s="457"/>
      <c r="Q14" s="448">
        <f t="shared" si="0"/>
        <v>2737.8418709355428</v>
      </c>
    </row>
    <row r="15" spans="1:17" s="460" customFormat="1">
      <c r="A15" s="458" t="s">
        <v>538</v>
      </c>
      <c r="B15" s="459">
        <f ca="1">SUM(B4:B14)</f>
        <v>95410.669985981905</v>
      </c>
      <c r="C15" s="459">
        <f t="shared" ref="C15:Q15" ca="1" si="1">SUM(C4:C14)</f>
        <v>27006.428571428572</v>
      </c>
      <c r="D15" s="459">
        <f t="shared" ca="1" si="1"/>
        <v>183898.76014392075</v>
      </c>
      <c r="E15" s="459">
        <f t="shared" si="1"/>
        <v>2990.09874047318</v>
      </c>
      <c r="F15" s="459">
        <f t="shared" ca="1" si="1"/>
        <v>75506.934183919599</v>
      </c>
      <c r="G15" s="459">
        <f t="shared" si="1"/>
        <v>166092.47517033565</v>
      </c>
      <c r="H15" s="459">
        <f t="shared" si="1"/>
        <v>35173.076023420916</v>
      </c>
      <c r="I15" s="459">
        <f t="shared" si="1"/>
        <v>0</v>
      </c>
      <c r="J15" s="459">
        <f t="shared" si="1"/>
        <v>1539.0644214361512</v>
      </c>
      <c r="K15" s="459">
        <f t="shared" si="1"/>
        <v>0</v>
      </c>
      <c r="L15" s="459">
        <f t="shared" ca="1" si="1"/>
        <v>0</v>
      </c>
      <c r="M15" s="459">
        <f t="shared" si="1"/>
        <v>11794.436034300754</v>
      </c>
      <c r="N15" s="459">
        <f t="shared" ca="1" si="1"/>
        <v>14819.273431880405</v>
      </c>
      <c r="O15" s="459">
        <f t="shared" si="1"/>
        <v>845.04093189362266</v>
      </c>
      <c r="P15" s="459">
        <f t="shared" si="1"/>
        <v>1463.0444196808471</v>
      </c>
      <c r="Q15" s="459">
        <f t="shared" ca="1" si="1"/>
        <v>616539.3020586723</v>
      </c>
    </row>
    <row r="17" spans="1:17">
      <c r="A17" s="461" t="s">
        <v>539</v>
      </c>
      <c r="B17" s="777">
        <f ca="1">huishoudens!B10</f>
        <v>0.18563113666677461</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7949.8764797863787</v>
      </c>
      <c r="C22" s="449">
        <f t="shared" ref="C22:C32" ca="1" si="3">C4*$C$17</f>
        <v>0</v>
      </c>
      <c r="D22" s="449">
        <f t="shared" ref="D22:D32" si="4">D4*$D$17</f>
        <v>15718.735837267242</v>
      </c>
      <c r="E22" s="449">
        <f t="shared" ref="E22:E32" si="5">E4*$E$17</f>
        <v>504.95989044898641</v>
      </c>
      <c r="F22" s="449">
        <f t="shared" ref="F22:F32" si="6">F4*$F$17</f>
        <v>13490.673316408189</v>
      </c>
      <c r="G22" s="449">
        <f t="shared" ref="G22:G32" si="7">G4*$G$17</f>
        <v>0</v>
      </c>
      <c r="H22" s="449">
        <f t="shared" ref="H22:H32" si="8">H4*$H$17</f>
        <v>0</v>
      </c>
      <c r="I22" s="449">
        <f t="shared" ref="I22:I32" si="9">I4*$I$17</f>
        <v>0</v>
      </c>
      <c r="J22" s="449">
        <f t="shared" ref="J22:J32" si="10">J4*$J$17</f>
        <v>89.483195177081299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37753.728719087878</v>
      </c>
    </row>
    <row r="23" spans="1:17">
      <c r="A23" s="448" t="s">
        <v>155</v>
      </c>
      <c r="B23" s="449">
        <f t="shared" ca="1" si="2"/>
        <v>4964.8515964256385</v>
      </c>
      <c r="C23" s="449">
        <f t="shared" ca="1" si="3"/>
        <v>0</v>
      </c>
      <c r="D23" s="449">
        <f t="shared" ca="1" si="4"/>
        <v>6262.716805707134</v>
      </c>
      <c r="E23" s="449">
        <f t="shared" si="5"/>
        <v>23.402180045274019</v>
      </c>
      <c r="F23" s="449">
        <f t="shared" ca="1" si="6"/>
        <v>1310.3304250745855</v>
      </c>
      <c r="G23" s="449">
        <f t="shared" si="7"/>
        <v>0</v>
      </c>
      <c r="H23" s="449">
        <f t="shared" si="8"/>
        <v>0</v>
      </c>
      <c r="I23" s="449">
        <f t="shared" si="9"/>
        <v>0</v>
      </c>
      <c r="J23" s="449">
        <f t="shared" si="10"/>
        <v>1.6702609188279684E-2</v>
      </c>
      <c r="K23" s="449">
        <f t="shared" si="11"/>
        <v>0</v>
      </c>
      <c r="L23" s="449">
        <f t="shared" ca="1" si="12"/>
        <v>0</v>
      </c>
      <c r="M23" s="449">
        <f t="shared" si="13"/>
        <v>0</v>
      </c>
      <c r="N23" s="449">
        <f t="shared" ca="1" si="14"/>
        <v>0</v>
      </c>
      <c r="O23" s="449">
        <f t="shared" si="15"/>
        <v>0</v>
      </c>
      <c r="P23" s="450">
        <f t="shared" si="16"/>
        <v>0</v>
      </c>
      <c r="Q23" s="448">
        <f t="shared" ref="Q23:Q31" ca="1" si="17">SUM(B23:P23)</f>
        <v>12561.31770986182</v>
      </c>
    </row>
    <row r="24" spans="1:17">
      <c r="A24" s="448" t="s">
        <v>193</v>
      </c>
      <c r="B24" s="449">
        <f t="shared" ca="1" si="2"/>
        <v>279.55800043158303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279.55800043158303</v>
      </c>
    </row>
    <row r="25" spans="1:17">
      <c r="A25" s="448" t="s">
        <v>111</v>
      </c>
      <c r="B25" s="449">
        <f t="shared" ca="1" si="2"/>
        <v>900.80629116738874</v>
      </c>
      <c r="C25" s="449">
        <f t="shared" ca="1" si="3"/>
        <v>6417.9983193277312</v>
      </c>
      <c r="D25" s="449">
        <f t="shared" si="4"/>
        <v>2482.9928543305195</v>
      </c>
      <c r="E25" s="449">
        <f t="shared" si="5"/>
        <v>41.080379744245718</v>
      </c>
      <c r="F25" s="449">
        <f t="shared" si="6"/>
        <v>4203.6294139880974</v>
      </c>
      <c r="G25" s="449">
        <f t="shared" si="7"/>
        <v>0</v>
      </c>
      <c r="H25" s="449">
        <f t="shared" si="8"/>
        <v>0</v>
      </c>
      <c r="I25" s="449">
        <f t="shared" si="9"/>
        <v>0</v>
      </c>
      <c r="J25" s="449">
        <f t="shared" si="10"/>
        <v>450.94266197774169</v>
      </c>
      <c r="K25" s="449">
        <f t="shared" si="11"/>
        <v>0</v>
      </c>
      <c r="L25" s="449">
        <f t="shared" si="12"/>
        <v>0</v>
      </c>
      <c r="M25" s="449">
        <f t="shared" si="13"/>
        <v>0</v>
      </c>
      <c r="N25" s="449">
        <f t="shared" si="14"/>
        <v>0</v>
      </c>
      <c r="O25" s="449">
        <f t="shared" si="15"/>
        <v>0</v>
      </c>
      <c r="P25" s="450">
        <f t="shared" si="16"/>
        <v>0</v>
      </c>
      <c r="Q25" s="448">
        <f t="shared" ca="1" si="17"/>
        <v>14497.449920535724</v>
      </c>
    </row>
    <row r="26" spans="1:17">
      <c r="A26" s="448" t="s">
        <v>618</v>
      </c>
      <c r="B26" s="449">
        <f t="shared" ca="1" si="2"/>
        <v>3374.9195768033287</v>
      </c>
      <c r="C26" s="449">
        <f t="shared" ca="1" si="3"/>
        <v>0</v>
      </c>
      <c r="D26" s="449">
        <f t="shared" si="4"/>
        <v>12202.829259436898</v>
      </c>
      <c r="E26" s="449">
        <f t="shared" si="5"/>
        <v>31.094782145287873</v>
      </c>
      <c r="F26" s="449">
        <f t="shared" si="6"/>
        <v>1155.7182716356608</v>
      </c>
      <c r="G26" s="449">
        <f t="shared" si="7"/>
        <v>0</v>
      </c>
      <c r="H26" s="449">
        <f t="shared" si="8"/>
        <v>0</v>
      </c>
      <c r="I26" s="449">
        <f t="shared" si="9"/>
        <v>0</v>
      </c>
      <c r="J26" s="449">
        <f t="shared" si="10"/>
        <v>4.3862454243862503</v>
      </c>
      <c r="K26" s="449">
        <f t="shared" si="11"/>
        <v>0</v>
      </c>
      <c r="L26" s="449">
        <f t="shared" si="12"/>
        <v>0</v>
      </c>
      <c r="M26" s="449">
        <f t="shared" si="13"/>
        <v>0</v>
      </c>
      <c r="N26" s="449">
        <f t="shared" si="14"/>
        <v>0</v>
      </c>
      <c r="O26" s="449">
        <f t="shared" si="15"/>
        <v>0</v>
      </c>
      <c r="P26" s="450">
        <f t="shared" si="16"/>
        <v>0</v>
      </c>
      <c r="Q26" s="448">
        <f t="shared" ca="1" si="17"/>
        <v>16768.94813544556</v>
      </c>
    </row>
    <row r="27" spans="1:17" s="454" customFormat="1">
      <c r="A27" s="452" t="s">
        <v>544</v>
      </c>
      <c r="B27" s="771">
        <f t="shared" ca="1" si="2"/>
        <v>64.728887803928004</v>
      </c>
      <c r="C27" s="453">
        <f t="shared" ca="1" si="3"/>
        <v>0</v>
      </c>
      <c r="D27" s="453">
        <f t="shared" si="4"/>
        <v>114.28233705731624</v>
      </c>
      <c r="E27" s="453">
        <f t="shared" si="5"/>
        <v>78.215181703617802</v>
      </c>
      <c r="F27" s="453">
        <f t="shared" si="6"/>
        <v>0</v>
      </c>
      <c r="G27" s="453">
        <f t="shared" si="7"/>
        <v>43878.922685227299</v>
      </c>
      <c r="H27" s="453">
        <f t="shared" si="8"/>
        <v>8758.0959298318085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52894.245021623967</v>
      </c>
    </row>
    <row r="28" spans="1:17" ht="16.5" customHeight="1">
      <c r="A28" s="448" t="s">
        <v>534</v>
      </c>
      <c r="B28" s="449">
        <f t="shared" ca="1" si="2"/>
        <v>4.5562198102043894</v>
      </c>
      <c r="C28" s="449">
        <f t="shared" ca="1" si="3"/>
        <v>0</v>
      </c>
      <c r="D28" s="449">
        <f t="shared" si="4"/>
        <v>0</v>
      </c>
      <c r="E28" s="449">
        <f t="shared" si="5"/>
        <v>0</v>
      </c>
      <c r="F28" s="449">
        <f t="shared" si="6"/>
        <v>0</v>
      </c>
      <c r="G28" s="449">
        <f t="shared" si="7"/>
        <v>467.76818525232227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472.32440506252664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171.8940674078884</v>
      </c>
      <c r="C32" s="449">
        <f t="shared" ca="1" si="3"/>
        <v>0</v>
      </c>
      <c r="D32" s="449">
        <f t="shared" si="4"/>
        <v>365.99245527288116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537.88652268076953</v>
      </c>
    </row>
    <row r="33" spans="1:17" s="460" customFormat="1">
      <c r="A33" s="458" t="s">
        <v>538</v>
      </c>
      <c r="B33" s="459">
        <f ca="1">SUM(B22:B32)</f>
        <v>17711.19111963634</v>
      </c>
      <c r="C33" s="459">
        <f t="shared" ref="C33:Q33" ca="1" si="19">SUM(C22:C32)</f>
        <v>6417.9983193277312</v>
      </c>
      <c r="D33" s="459">
        <f t="shared" ca="1" si="19"/>
        <v>37147.549549071999</v>
      </c>
      <c r="E33" s="459">
        <f t="shared" si="19"/>
        <v>678.75241408741192</v>
      </c>
      <c r="F33" s="459">
        <f t="shared" ca="1" si="19"/>
        <v>20160.351427106536</v>
      </c>
      <c r="G33" s="459">
        <f t="shared" si="19"/>
        <v>44346.690870479622</v>
      </c>
      <c r="H33" s="459">
        <f t="shared" si="19"/>
        <v>8758.0959298318085</v>
      </c>
      <c r="I33" s="459">
        <f t="shared" si="19"/>
        <v>0</v>
      </c>
      <c r="J33" s="459">
        <f t="shared" si="19"/>
        <v>544.82880518839761</v>
      </c>
      <c r="K33" s="459">
        <f t="shared" si="19"/>
        <v>0</v>
      </c>
      <c r="L33" s="459">
        <f t="shared" ca="1" si="19"/>
        <v>0</v>
      </c>
      <c r="M33" s="459">
        <f t="shared" si="19"/>
        <v>0</v>
      </c>
      <c r="N33" s="459">
        <f t="shared" ca="1" si="19"/>
        <v>0</v>
      </c>
      <c r="O33" s="459">
        <f t="shared" si="19"/>
        <v>0</v>
      </c>
      <c r="P33" s="459">
        <f t="shared" si="19"/>
        <v>0</v>
      </c>
      <c r="Q33" s="459">
        <f t="shared" ca="1" si="19"/>
        <v>135765.45843472987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3357.1307036341532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13336.404458334513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18904.5</v>
      </c>
      <c r="D8" s="1015">
        <f>'SEAP template'!D76</f>
        <v>22240.588235294119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4492.5988235294126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16693.535161968666</v>
      </c>
      <c r="C10" s="1017">
        <f>SUM(C4:C9)</f>
        <v>18904.5</v>
      </c>
      <c r="D10" s="1017">
        <f t="shared" ref="D10:H10" si="0">SUM(D8:D9)</f>
        <v>22240.588235294119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4492.5988235294126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0.18563113666677461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27006.428571428572</v>
      </c>
      <c r="D17" s="1016">
        <f>'SEAP template'!D87</f>
        <v>31772.268907563026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6417.9983193277312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27006.428571428572</v>
      </c>
      <c r="D20" s="1017">
        <f t="shared" ref="D20:H20" si="2">SUM(D17:D19)</f>
        <v>31772.268907563026</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6417.9983193277312</v>
      </c>
    </row>
    <row r="21" spans="1:16">
      <c r="B21" s="882"/>
    </row>
    <row r="22" spans="1:16">
      <c r="A22" s="461" t="s">
        <v>762</v>
      </c>
      <c r="B22" s="777" t="s">
        <v>760</v>
      </c>
      <c r="C22" s="77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0.18563113666677461</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0.18563113666677461</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0.18563113666677461</v>
      </c>
      <c r="C29" s="498">
        <f ca="1">'EF ele_warmte'!B22</f>
        <v>0.23764705882352941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9281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3525.49</v>
      </c>
      <c r="C14" s="326"/>
      <c r="D14" s="326"/>
      <c r="E14" s="326"/>
      <c r="F14" s="326"/>
    </row>
    <row r="15" spans="1:6">
      <c r="A15" s="1307" t="s">
        <v>183</v>
      </c>
      <c r="B15" s="1308">
        <v>959</v>
      </c>
      <c r="C15" s="326"/>
      <c r="D15" s="326"/>
      <c r="E15" s="326"/>
      <c r="F15" s="326"/>
    </row>
    <row r="16" spans="1:6">
      <c r="A16" s="1307" t="s">
        <v>6</v>
      </c>
      <c r="B16" s="1308">
        <v>1545</v>
      </c>
      <c r="C16" s="326"/>
      <c r="D16" s="326"/>
      <c r="E16" s="326"/>
      <c r="F16" s="326"/>
    </row>
    <row r="17" spans="1:6">
      <c r="A17" s="1307" t="s">
        <v>7</v>
      </c>
      <c r="B17" s="1308">
        <v>1913</v>
      </c>
      <c r="C17" s="326"/>
      <c r="D17" s="326"/>
      <c r="E17" s="326"/>
      <c r="F17" s="326"/>
    </row>
    <row r="18" spans="1:6">
      <c r="A18" s="1307" t="s">
        <v>8</v>
      </c>
      <c r="B18" s="1308">
        <v>2445</v>
      </c>
      <c r="C18" s="326"/>
      <c r="D18" s="326"/>
      <c r="E18" s="326"/>
      <c r="F18" s="326"/>
    </row>
    <row r="19" spans="1:6">
      <c r="A19" s="1307" t="s">
        <v>9</v>
      </c>
      <c r="B19" s="1308">
        <v>2127</v>
      </c>
      <c r="C19" s="326"/>
      <c r="D19" s="326"/>
      <c r="E19" s="326"/>
      <c r="F19" s="326"/>
    </row>
    <row r="20" spans="1:6">
      <c r="A20" s="1307" t="s">
        <v>10</v>
      </c>
      <c r="B20" s="1308">
        <v>1659</v>
      </c>
      <c r="C20" s="326"/>
      <c r="D20" s="326"/>
      <c r="E20" s="326"/>
      <c r="F20" s="326"/>
    </row>
    <row r="21" spans="1:6">
      <c r="A21" s="1307" t="s">
        <v>11</v>
      </c>
      <c r="B21" s="1308">
        <v>20371</v>
      </c>
      <c r="C21" s="326"/>
      <c r="D21" s="326"/>
      <c r="E21" s="326"/>
      <c r="F21" s="326"/>
    </row>
    <row r="22" spans="1:6">
      <c r="A22" s="1307" t="s">
        <v>12</v>
      </c>
      <c r="B22" s="1308">
        <v>49161</v>
      </c>
      <c r="C22" s="326"/>
      <c r="D22" s="326"/>
      <c r="E22" s="326"/>
      <c r="F22" s="326"/>
    </row>
    <row r="23" spans="1:6">
      <c r="A23" s="1307" t="s">
        <v>13</v>
      </c>
      <c r="B23" s="1308">
        <v>871</v>
      </c>
      <c r="C23" s="326"/>
      <c r="D23" s="326"/>
      <c r="E23" s="326"/>
      <c r="F23" s="326"/>
    </row>
    <row r="24" spans="1:6">
      <c r="A24" s="1307" t="s">
        <v>14</v>
      </c>
      <c r="B24" s="1308">
        <v>23</v>
      </c>
      <c r="C24" s="326"/>
      <c r="D24" s="326"/>
      <c r="E24" s="326"/>
      <c r="F24" s="326"/>
    </row>
    <row r="25" spans="1:6">
      <c r="A25" s="1307" t="s">
        <v>15</v>
      </c>
      <c r="B25" s="1308">
        <v>5177</v>
      </c>
      <c r="C25" s="326"/>
      <c r="D25" s="326"/>
      <c r="E25" s="326"/>
      <c r="F25" s="326"/>
    </row>
    <row r="26" spans="1:6">
      <c r="A26" s="1307" t="s">
        <v>16</v>
      </c>
      <c r="B26" s="1308">
        <v>601</v>
      </c>
      <c r="C26" s="326"/>
      <c r="D26" s="326"/>
      <c r="E26" s="326"/>
      <c r="F26" s="326"/>
    </row>
    <row r="27" spans="1:6">
      <c r="A27" s="1307" t="s">
        <v>17</v>
      </c>
      <c r="B27" s="1308">
        <v>9</v>
      </c>
      <c r="C27" s="326"/>
      <c r="D27" s="326"/>
      <c r="E27" s="326"/>
      <c r="F27" s="326"/>
    </row>
    <row r="28" spans="1:6" s="43" customFormat="1">
      <c r="A28" s="1309" t="s">
        <v>18</v>
      </c>
      <c r="B28" s="1310">
        <v>157923</v>
      </c>
      <c r="C28" s="332"/>
      <c r="D28" s="332"/>
      <c r="E28" s="332"/>
      <c r="F28" s="332"/>
    </row>
    <row r="29" spans="1:6">
      <c r="A29" s="1309" t="s">
        <v>688</v>
      </c>
      <c r="B29" s="1310">
        <v>246</v>
      </c>
      <c r="C29" s="332"/>
      <c r="D29" s="332"/>
      <c r="E29" s="332"/>
      <c r="F29" s="332"/>
    </row>
    <row r="30" spans="1:6">
      <c r="A30" s="1302" t="s">
        <v>689</v>
      </c>
      <c r="B30" s="1311">
        <v>51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36786.125469140003</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17333</v>
      </c>
    </row>
    <row r="39" spans="1:6">
      <c r="A39" s="1307" t="s">
        <v>29</v>
      </c>
      <c r="B39" s="1307" t="s">
        <v>30</v>
      </c>
      <c r="C39" s="1308">
        <v>5900</v>
      </c>
      <c r="D39" s="1308">
        <v>86174445.123884305</v>
      </c>
      <c r="E39" s="1308">
        <v>8869</v>
      </c>
      <c r="F39" s="1308">
        <v>34367965.098173402</v>
      </c>
    </row>
    <row r="40" spans="1:6">
      <c r="A40" s="1307" t="s">
        <v>29</v>
      </c>
      <c r="B40" s="1307" t="s">
        <v>28</v>
      </c>
      <c r="C40" s="1308">
        <v>0</v>
      </c>
      <c r="D40" s="1308">
        <v>0</v>
      </c>
      <c r="E40" s="1308">
        <v>0</v>
      </c>
      <c r="F40" s="1308">
        <v>0</v>
      </c>
    </row>
    <row r="41" spans="1:6">
      <c r="A41" s="1307" t="s">
        <v>31</v>
      </c>
      <c r="B41" s="1307" t="s">
        <v>32</v>
      </c>
      <c r="C41" s="1308">
        <v>161</v>
      </c>
      <c r="D41" s="1308">
        <v>3685082.85437747</v>
      </c>
      <c r="E41" s="1308">
        <v>328</v>
      </c>
      <c r="F41" s="1308">
        <v>5849994.2888350701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35</v>
      </c>
      <c r="D44" s="1308">
        <v>62282156.184783101</v>
      </c>
      <c r="E44" s="1308">
        <v>76</v>
      </c>
      <c r="F44" s="1308">
        <v>6491848.6137239998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113532.840116933</v>
      </c>
      <c r="E47" s="1308">
        <v>11</v>
      </c>
      <c r="F47" s="1308">
        <v>121888.805055955</v>
      </c>
    </row>
    <row r="48" spans="1:6">
      <c r="A48" s="1307" t="s">
        <v>31</v>
      </c>
      <c r="B48" s="1307" t="s">
        <v>28</v>
      </c>
      <c r="C48" s="1308">
        <v>2</v>
      </c>
      <c r="D48" s="1308">
        <v>42801.0367466483</v>
      </c>
      <c r="E48" s="1308">
        <v>4</v>
      </c>
      <c r="F48" s="1308">
        <v>3248295.2158333999</v>
      </c>
    </row>
    <row r="49" spans="1:6">
      <c r="A49" s="1307" t="s">
        <v>31</v>
      </c>
      <c r="B49" s="1307" t="s">
        <v>39</v>
      </c>
      <c r="C49" s="1308">
        <v>0</v>
      </c>
      <c r="D49" s="1308">
        <v>0</v>
      </c>
      <c r="E49" s="1308">
        <v>5</v>
      </c>
      <c r="F49" s="1308">
        <v>17620.371394808</v>
      </c>
    </row>
    <row r="50" spans="1:6">
      <c r="A50" s="1307" t="s">
        <v>31</v>
      </c>
      <c r="B50" s="1307" t="s">
        <v>40</v>
      </c>
      <c r="C50" s="1308">
        <v>13</v>
      </c>
      <c r="D50" s="1308">
        <v>775702.65296423202</v>
      </c>
      <c r="E50" s="1308">
        <v>20</v>
      </c>
      <c r="F50" s="1308">
        <v>2451136.5833572601</v>
      </c>
    </row>
    <row r="51" spans="1:6">
      <c r="A51" s="1307" t="s">
        <v>41</v>
      </c>
      <c r="B51" s="1307" t="s">
        <v>42</v>
      </c>
      <c r="C51" s="1308">
        <v>18</v>
      </c>
      <c r="D51" s="1308">
        <v>73427354.347925305</v>
      </c>
      <c r="E51" s="1308">
        <v>170</v>
      </c>
      <c r="F51" s="1308">
        <v>4840138.6849012896</v>
      </c>
    </row>
    <row r="52" spans="1:6">
      <c r="A52" s="1307" t="s">
        <v>41</v>
      </c>
      <c r="B52" s="1307" t="s">
        <v>28</v>
      </c>
      <c r="C52" s="1308">
        <v>0</v>
      </c>
      <c r="D52" s="1308">
        <v>0</v>
      </c>
      <c r="E52" s="1308">
        <v>1</v>
      </c>
      <c r="F52" s="1308">
        <v>12529.393</v>
      </c>
    </row>
    <row r="53" spans="1:6">
      <c r="A53" s="1307" t="s">
        <v>43</v>
      </c>
      <c r="B53" s="1307" t="s">
        <v>44</v>
      </c>
      <c r="C53" s="1308">
        <v>91</v>
      </c>
      <c r="D53" s="1308">
        <v>1811843.8379845601</v>
      </c>
      <c r="E53" s="1308">
        <v>248</v>
      </c>
      <c r="F53" s="1308">
        <v>925998.03295098303</v>
      </c>
    </row>
    <row r="54" spans="1:6">
      <c r="A54" s="1307" t="s">
        <v>45</v>
      </c>
      <c r="B54" s="1307" t="s">
        <v>46</v>
      </c>
      <c r="C54" s="1308">
        <v>0</v>
      </c>
      <c r="D54" s="1308">
        <v>0</v>
      </c>
      <c r="E54" s="1308">
        <v>2</v>
      </c>
      <c r="F54" s="1308">
        <v>1505986.5788217201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119</v>
      </c>
      <c r="D57" s="1308">
        <v>11315417.480750101</v>
      </c>
      <c r="E57" s="1308">
        <v>217</v>
      </c>
      <c r="F57" s="1308">
        <v>4777579.1093372898</v>
      </c>
    </row>
    <row r="58" spans="1:6">
      <c r="A58" s="1307" t="s">
        <v>48</v>
      </c>
      <c r="B58" s="1307" t="s">
        <v>50</v>
      </c>
      <c r="C58" s="1308">
        <v>51</v>
      </c>
      <c r="D58" s="1308">
        <v>3085319.1523748399</v>
      </c>
      <c r="E58" s="1308">
        <v>85</v>
      </c>
      <c r="F58" s="1308">
        <v>1406000.97307175</v>
      </c>
    </row>
    <row r="59" spans="1:6">
      <c r="A59" s="1307" t="s">
        <v>48</v>
      </c>
      <c r="B59" s="1307" t="s">
        <v>51</v>
      </c>
      <c r="C59" s="1308">
        <v>173</v>
      </c>
      <c r="D59" s="1308">
        <v>6677067.8434818396</v>
      </c>
      <c r="E59" s="1308">
        <v>334</v>
      </c>
      <c r="F59" s="1308">
        <v>9308313.2292124294</v>
      </c>
    </row>
    <row r="60" spans="1:6">
      <c r="A60" s="1307" t="s">
        <v>48</v>
      </c>
      <c r="B60" s="1307" t="s">
        <v>52</v>
      </c>
      <c r="C60" s="1308">
        <v>70</v>
      </c>
      <c r="D60" s="1308">
        <v>6184430.1690452099</v>
      </c>
      <c r="E60" s="1308">
        <v>93</v>
      </c>
      <c r="F60" s="1308">
        <v>2757622.8162604999</v>
      </c>
    </row>
    <row r="61" spans="1:6">
      <c r="A61" s="1307" t="s">
        <v>48</v>
      </c>
      <c r="B61" s="1307" t="s">
        <v>53</v>
      </c>
      <c r="C61" s="1308">
        <v>210</v>
      </c>
      <c r="D61" s="1308">
        <v>5823679.1383025404</v>
      </c>
      <c r="E61" s="1308">
        <v>410</v>
      </c>
      <c r="F61" s="1308">
        <v>8156870.70523082</v>
      </c>
    </row>
    <row r="62" spans="1:6">
      <c r="A62" s="1307" t="s">
        <v>48</v>
      </c>
      <c r="B62" s="1307" t="s">
        <v>54</v>
      </c>
      <c r="C62" s="1308">
        <v>8</v>
      </c>
      <c r="D62" s="1308">
        <v>1248027.01682578</v>
      </c>
      <c r="E62" s="1308">
        <v>15</v>
      </c>
      <c r="F62" s="1308">
        <v>339404.23176667199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0</v>
      </c>
      <c r="E65" s="1308">
        <v>0</v>
      </c>
      <c r="F65" s="1308">
        <v>0</v>
      </c>
    </row>
    <row r="66" spans="1:6">
      <c r="A66" s="1307" t="s">
        <v>55</v>
      </c>
      <c r="B66" s="1307" t="s">
        <v>57</v>
      </c>
      <c r="C66" s="1308">
        <v>0</v>
      </c>
      <c r="D66" s="1308">
        <v>0</v>
      </c>
      <c r="E66" s="1308">
        <v>7</v>
      </c>
      <c r="F66" s="1308">
        <v>66016</v>
      </c>
    </row>
    <row r="67" spans="1:6">
      <c r="A67" s="1309" t="s">
        <v>55</v>
      </c>
      <c r="B67" s="1309" t="s">
        <v>58</v>
      </c>
      <c r="C67" s="1308">
        <v>0</v>
      </c>
      <c r="D67" s="1308">
        <v>0</v>
      </c>
      <c r="E67" s="1308">
        <v>0</v>
      </c>
      <c r="F67" s="1308">
        <v>0</v>
      </c>
    </row>
    <row r="68" spans="1:6">
      <c r="A68" s="1302" t="s">
        <v>55</v>
      </c>
      <c r="B68" s="1302" t="s">
        <v>59</v>
      </c>
      <c r="C68" s="1311">
        <v>11</v>
      </c>
      <c r="D68" s="1311">
        <v>268410.50575102901</v>
      </c>
      <c r="E68" s="1311">
        <v>20</v>
      </c>
      <c r="F68" s="1311">
        <v>440640.22464657697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76596891</v>
      </c>
      <c r="E73" s="447"/>
      <c r="F73" s="326"/>
    </row>
    <row r="74" spans="1:6">
      <c r="A74" s="1307" t="s">
        <v>63</v>
      </c>
      <c r="B74" s="1307" t="s">
        <v>639</v>
      </c>
      <c r="C74" s="1321" t="s">
        <v>641</v>
      </c>
      <c r="D74" s="1322">
        <v>8607763.5602868292</v>
      </c>
      <c r="E74" s="447"/>
      <c r="F74" s="326"/>
    </row>
    <row r="75" spans="1:6">
      <c r="A75" s="1307" t="s">
        <v>64</v>
      </c>
      <c r="B75" s="1307" t="s">
        <v>638</v>
      </c>
      <c r="C75" s="1321" t="s">
        <v>642</v>
      </c>
      <c r="D75" s="1322">
        <v>27198962</v>
      </c>
      <c r="E75" s="447"/>
      <c r="F75" s="326"/>
    </row>
    <row r="76" spans="1:6">
      <c r="A76" s="1307" t="s">
        <v>64</v>
      </c>
      <c r="B76" s="1307" t="s">
        <v>639</v>
      </c>
      <c r="C76" s="1321" t="s">
        <v>643</v>
      </c>
      <c r="D76" s="1322">
        <v>1050350.560286829</v>
      </c>
      <c r="E76" s="447"/>
      <c r="F76" s="326"/>
    </row>
    <row r="77" spans="1:6">
      <c r="A77" s="1307" t="s">
        <v>65</v>
      </c>
      <c r="B77" s="1307" t="s">
        <v>638</v>
      </c>
      <c r="C77" s="1321" t="s">
        <v>644</v>
      </c>
      <c r="D77" s="1322">
        <v>111363592</v>
      </c>
      <c r="E77" s="447"/>
      <c r="F77" s="326"/>
    </row>
    <row r="78" spans="1:6">
      <c r="A78" s="1302" t="s">
        <v>65</v>
      </c>
      <c r="B78" s="1302" t="s">
        <v>639</v>
      </c>
      <c r="C78" s="1302" t="s">
        <v>645</v>
      </c>
      <c r="D78" s="1323">
        <v>16188037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518794.87942634203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3357.1307036341532</v>
      </c>
      <c r="C90" s="326"/>
      <c r="D90" s="326"/>
      <c r="E90" s="326"/>
      <c r="F90" s="326"/>
    </row>
    <row r="91" spans="1:6">
      <c r="A91" s="1307" t="s">
        <v>67</v>
      </c>
      <c r="B91" s="1308">
        <v>8458.2364892098376</v>
      </c>
      <c r="C91" s="326"/>
      <c r="D91" s="326"/>
      <c r="E91" s="326"/>
      <c r="F91" s="326"/>
    </row>
    <row r="92" spans="1:6">
      <c r="A92" s="1302" t="s">
        <v>68</v>
      </c>
      <c r="B92" s="1303">
        <v>4878.1679691246754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3156</v>
      </c>
      <c r="C97" s="326"/>
      <c r="D97" s="326"/>
      <c r="E97" s="326"/>
      <c r="F97" s="326"/>
    </row>
    <row r="98" spans="1:6">
      <c r="A98" s="1307" t="s">
        <v>71</v>
      </c>
      <c r="B98" s="1308">
        <v>0</v>
      </c>
      <c r="C98" s="326"/>
      <c r="D98" s="326"/>
      <c r="E98" s="326"/>
      <c r="F98" s="326"/>
    </row>
    <row r="99" spans="1:6">
      <c r="A99" s="1307" t="s">
        <v>72</v>
      </c>
      <c r="B99" s="1308">
        <v>227</v>
      </c>
      <c r="C99" s="326"/>
      <c r="D99" s="326"/>
      <c r="E99" s="326"/>
      <c r="F99" s="326"/>
    </row>
    <row r="100" spans="1:6">
      <c r="A100" s="1307" t="s">
        <v>73</v>
      </c>
      <c r="B100" s="1308">
        <v>950</v>
      </c>
      <c r="C100" s="326"/>
      <c r="D100" s="326"/>
      <c r="E100" s="326"/>
      <c r="F100" s="326"/>
    </row>
    <row r="101" spans="1:6">
      <c r="A101" s="1307" t="s">
        <v>74</v>
      </c>
      <c r="B101" s="1308">
        <v>226</v>
      </c>
      <c r="C101" s="326"/>
      <c r="D101" s="326"/>
      <c r="E101" s="326"/>
      <c r="F101" s="326"/>
    </row>
    <row r="102" spans="1:6">
      <c r="A102" s="1307" t="s">
        <v>75</v>
      </c>
      <c r="B102" s="1308">
        <v>152</v>
      </c>
      <c r="C102" s="326"/>
      <c r="D102" s="326"/>
      <c r="E102" s="326"/>
      <c r="F102" s="326"/>
    </row>
    <row r="103" spans="1:6">
      <c r="A103" s="1307" t="s">
        <v>76</v>
      </c>
      <c r="B103" s="1308">
        <v>284</v>
      </c>
      <c r="C103" s="326"/>
      <c r="D103" s="326"/>
      <c r="E103" s="326"/>
      <c r="F103" s="326"/>
    </row>
    <row r="104" spans="1:6">
      <c r="A104" s="1307" t="s">
        <v>77</v>
      </c>
      <c r="B104" s="1308">
        <v>3125</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5</v>
      </c>
      <c r="C121" s="1308">
        <v>0</v>
      </c>
      <c r="D121" s="326"/>
      <c r="E121" s="326"/>
      <c r="F121" s="326"/>
    </row>
    <row r="122" spans="1:6">
      <c r="A122" s="1307" t="s">
        <v>86</v>
      </c>
      <c r="B122" s="1308">
        <v>0</v>
      </c>
      <c r="C122" s="1308">
        <v>0</v>
      </c>
      <c r="D122" s="326"/>
      <c r="E122" s="326"/>
      <c r="F122" s="326"/>
    </row>
    <row r="123" spans="1:6">
      <c r="A123" s="1307" t="s">
        <v>87</v>
      </c>
      <c r="B123" s="1308">
        <v>52</v>
      </c>
      <c r="C123" s="1308">
        <v>56</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363</v>
      </c>
      <c r="C129" s="326"/>
      <c r="D129" s="326"/>
      <c r="E129" s="326"/>
      <c r="F129" s="326"/>
    </row>
    <row r="130" spans="1:6">
      <c r="A130" s="1307" t="s">
        <v>290</v>
      </c>
      <c r="B130" s="1308">
        <v>2</v>
      </c>
      <c r="C130" s="326"/>
      <c r="D130" s="326"/>
      <c r="E130" s="326"/>
      <c r="F130" s="326"/>
    </row>
    <row r="131" spans="1:6">
      <c r="A131" s="1307" t="s">
        <v>291</v>
      </c>
      <c r="B131" s="1308">
        <v>4</v>
      </c>
      <c r="C131" s="326"/>
      <c r="D131" s="326"/>
      <c r="E131" s="326"/>
      <c r="F131" s="326"/>
    </row>
    <row r="132" spans="1:6">
      <c r="A132" s="1302" t="s">
        <v>292</v>
      </c>
      <c r="B132" s="1303">
        <v>41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95410.669985981905</v>
      </c>
      <c r="C3" s="43" t="s">
        <v>169</v>
      </c>
      <c r="D3" s="43"/>
      <c r="E3" s="154"/>
      <c r="F3" s="43"/>
      <c r="G3" s="43"/>
      <c r="H3" s="43"/>
      <c r="I3" s="43"/>
      <c r="J3" s="43"/>
      <c r="K3" s="96"/>
    </row>
    <row r="4" spans="1:11">
      <c r="A4" s="354" t="s">
        <v>170</v>
      </c>
      <c r="B4" s="49">
        <f>IF(ISERROR('SEAP template'!B78+'SEAP template'!C78),0,'SEAP template'!B78+'SEAP template'!C78)</f>
        <v>35598.03516196867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4492.5988235294126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0.18563113666677461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6417.9983193277312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27006.428571428572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1505.9865788217201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1505.9865788217201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0.18563113666677461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279.55800043158303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34367.965098173401</v>
      </c>
      <c r="C5" s="17">
        <f>IF(ISERROR('Eigen informatie GS &amp; warmtenet'!B59),0,'Eigen informatie GS &amp; warmtenet'!B59)</f>
        <v>0</v>
      </c>
      <c r="D5" s="30">
        <f>(SUM(HH_hh_gas_kWh,HH_rest_gas_kWh)/1000)*0.903</f>
        <v>77815.523946867528</v>
      </c>
      <c r="E5" s="17">
        <f>B32*B41</f>
        <v>2224.4929094669005</v>
      </c>
      <c r="F5" s="17">
        <f>B36*B45</f>
        <v>50526.866353588717</v>
      </c>
      <c r="G5" s="18"/>
      <c r="H5" s="17"/>
      <c r="I5" s="17"/>
      <c r="J5" s="17">
        <f>B35*B44+C35*C44</f>
        <v>252.7773875058794</v>
      </c>
      <c r="K5" s="17"/>
      <c r="L5" s="17"/>
      <c r="M5" s="17"/>
      <c r="N5" s="17">
        <f>B34*B43+C34*C43</f>
        <v>12629.698850922174</v>
      </c>
      <c r="O5" s="17">
        <f>B52*B53*B54</f>
        <v>835.24641036194032</v>
      </c>
      <c r="P5" s="17">
        <f>B60*B61*B62/1000-B60*B61*B62/1000/B63</f>
        <v>990.19217492239204</v>
      </c>
    </row>
    <row r="6" spans="1:16">
      <c r="A6" s="16" t="s">
        <v>604</v>
      </c>
      <c r="B6" s="779">
        <f>kWh_PV_kleiner_dan_10kW</f>
        <v>8458.2364892098376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42826.201587383242</v>
      </c>
      <c r="C8" s="21">
        <f>C5</f>
        <v>0</v>
      </c>
      <c r="D8" s="21">
        <f>D5</f>
        <v>77815.523946867528</v>
      </c>
      <c r="E8" s="21">
        <f>E5</f>
        <v>2224.4929094669005</v>
      </c>
      <c r="F8" s="21">
        <f>F5</f>
        <v>50526.866353588717</v>
      </c>
      <c r="G8" s="21"/>
      <c r="H8" s="21"/>
      <c r="I8" s="21"/>
      <c r="J8" s="21">
        <f>J5</f>
        <v>252.7773875058794</v>
      </c>
      <c r="K8" s="21"/>
      <c r="L8" s="21">
        <f>L5</f>
        <v>0</v>
      </c>
      <c r="M8" s="21">
        <f>M5</f>
        <v>0</v>
      </c>
      <c r="N8" s="21">
        <f>N5</f>
        <v>12629.698850922174</v>
      </c>
      <c r="O8" s="21">
        <f>O5</f>
        <v>835.24641036194032</v>
      </c>
      <c r="P8" s="21">
        <f>P5</f>
        <v>990.19217492239204</v>
      </c>
    </row>
    <row r="9" spans="1:16">
      <c r="B9" s="19"/>
      <c r="C9" s="19"/>
      <c r="D9" s="254"/>
      <c r="E9" s="19"/>
      <c r="F9" s="19"/>
      <c r="G9" s="19"/>
      <c r="H9" s="19"/>
      <c r="I9" s="19"/>
      <c r="J9" s="19"/>
      <c r="K9" s="19"/>
      <c r="L9" s="19"/>
      <c r="M9" s="19"/>
      <c r="N9" s="19"/>
      <c r="O9" s="19"/>
      <c r="P9" s="19"/>
    </row>
    <row r="10" spans="1:16">
      <c r="A10" s="24" t="s">
        <v>213</v>
      </c>
      <c r="B10" s="25">
        <f ca="1">'EF ele_warmte'!B12</f>
        <v>0.18563113666677461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7949.8764797863787</v>
      </c>
      <c r="C12" s="23">
        <f ca="1">C10*C8</f>
        <v>0</v>
      </c>
      <c r="D12" s="23">
        <f>D8*D10</f>
        <v>15718.735837267242</v>
      </c>
      <c r="E12" s="23">
        <f>E10*E8</f>
        <v>504.95989044898641</v>
      </c>
      <c r="F12" s="23">
        <f>F10*F8</f>
        <v>13490.673316408189</v>
      </c>
      <c r="G12" s="23"/>
      <c r="H12" s="23"/>
      <c r="I12" s="23"/>
      <c r="J12" s="23">
        <f>J10*J8</f>
        <v>89.483195177081299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9281</v>
      </c>
      <c r="C26" s="36"/>
      <c r="D26" s="225"/>
    </row>
    <row r="27" spans="1:5" s="15" customFormat="1">
      <c r="A27" s="227" t="s">
        <v>817</v>
      </c>
      <c r="B27" s="37">
        <f>SUM(HH_hh_gas_aantal,HH_rest_gas_aantal)</f>
        <v>5900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5605</v>
      </c>
      <c r="C31" s="34" t="s">
        <v>110</v>
      </c>
      <c r="D31" s="171"/>
    </row>
    <row r="32" spans="1:5">
      <c r="A32" s="168" t="s">
        <v>72</v>
      </c>
      <c r="B32" s="33">
        <f>IF((B21*($B$26-($B$27-0.05*$B$27)-$B$60))&lt;0,0,B21*($B$26-($B$27-0.05*$B$27)-$B$60))</f>
        <v>55.131847996964659</v>
      </c>
      <c r="C32" s="34" t="s">
        <v>110</v>
      </c>
      <c r="D32" s="171"/>
    </row>
    <row r="33" spans="1:6">
      <c r="A33" s="168" t="s">
        <v>73</v>
      </c>
      <c r="B33" s="33">
        <f>IF((B22*($B$26-($B$27-0.05*$B$27)-$B$60))&lt;0,0,B22*($B$26-($B$27-0.05*$B$27)-$B$60))</f>
        <v>895.23202164729287</v>
      </c>
      <c r="C33" s="34" t="s">
        <v>110</v>
      </c>
      <c r="D33" s="171"/>
    </row>
    <row r="34" spans="1:6">
      <c r="A34" s="168" t="s">
        <v>74</v>
      </c>
      <c r="B34" s="33">
        <f>IF((B24*($B$26-($B$27-0.05*$B$27)-$B$60))&lt;0,0,B24*($B$26-($B$27-0.05*$B$27)-$B$60))</f>
        <v>171.4800524921784</v>
      </c>
      <c r="C34" s="33">
        <f>B26*C24</f>
        <v>1900.5065671225161</v>
      </c>
      <c r="D34" s="230"/>
    </row>
    <row r="35" spans="1:6">
      <c r="A35" s="168" t="s">
        <v>76</v>
      </c>
      <c r="B35" s="33">
        <f>IF((B19*($B$26-($B$27-0.05*$B$27)-$B$60))&lt;0,0,B19*($B$26-($B$27-0.05*$B$27)-$B$60))</f>
        <v>23.965682886357275</v>
      </c>
      <c r="C35" s="33">
        <f>B35/2</f>
        <v>11.982841443178637</v>
      </c>
      <c r="D35" s="230"/>
    </row>
    <row r="36" spans="1:6">
      <c r="A36" s="168" t="s">
        <v>77</v>
      </c>
      <c r="B36" s="33">
        <f>IF((B18*($B$26-($B$27-0.05*$B$27)-$B$60))&lt;0,0,B18*($B$26-($B$27-0.05*$B$27)-$B$60))</f>
        <v>2436.1903949772059</v>
      </c>
      <c r="C36" s="34" t="s">
        <v>110</v>
      </c>
      <c r="D36" s="171"/>
    </row>
    <row r="37" spans="1:6">
      <c r="A37" s="168" t="s">
        <v>78</v>
      </c>
      <c r="B37" s="33">
        <f>B60</f>
        <v>94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421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26745.79106487946</v>
      </c>
      <c r="C5" s="17">
        <f>IF(ISERROR('Eigen informatie GS &amp; warmtenet'!B60),0,'Eigen informatie GS &amp; warmtenet'!B60)</f>
        <v>0</v>
      </c>
      <c r="D5" s="30">
        <f>SUM(D6:D12)</f>
        <v>31003.548543104622</v>
      </c>
      <c r="E5" s="17">
        <f>SUM(E6:E12)</f>
        <v>103.09330416420272</v>
      </c>
      <c r="F5" s="17">
        <f>SUM(F6:F12)</f>
        <v>4907.6045882943272</v>
      </c>
      <c r="G5" s="18"/>
      <c r="H5" s="17"/>
      <c r="I5" s="17"/>
      <c r="J5" s="17">
        <f>SUM(J6:J12)</f>
        <v>4.7182511831298547E-2</v>
      </c>
      <c r="K5" s="17"/>
      <c r="L5" s="17"/>
      <c r="M5" s="17"/>
      <c r="N5" s="17">
        <f>SUM(N6:N12)</f>
        <v>1724.8348271318171</v>
      </c>
      <c r="O5" s="17">
        <f>B38*B39*B40</f>
        <v>9.7945215316823084</v>
      </c>
      <c r="P5" s="17">
        <f>B46*B47*B48/1000-B46*B47*B48/1000/B49</f>
        <v>472.85224475845519</v>
      </c>
      <c r="R5" s="32"/>
    </row>
    <row r="6" spans="1:18">
      <c r="A6" s="32" t="s">
        <v>53</v>
      </c>
      <c r="B6" s="37">
        <f>B26</f>
        <v>8156.87070523082</v>
      </c>
      <c r="C6" s="33"/>
      <c r="D6" s="37">
        <f>IF(ISERROR(TER_kantoor_gas_kWh/1000),0,TER_kantoor_gas_kWh/1000)*0.903</f>
        <v>5258.7822618871942</v>
      </c>
      <c r="E6" s="33">
        <f>$C$26*'E Balans VL '!I12/100/3.6*1000000</f>
        <v>1.9541923352641117</v>
      </c>
      <c r="F6" s="33">
        <f>$C$26*('E Balans VL '!L12+'E Balans VL '!N12)/100/3.6*1000000</f>
        <v>773.50646847645942</v>
      </c>
      <c r="G6" s="34"/>
      <c r="H6" s="33"/>
      <c r="I6" s="33"/>
      <c r="J6" s="33">
        <f>$C$26*('E Balans VL '!D12+'E Balans VL '!E12)/100/3.6*1000000</f>
        <v>0</v>
      </c>
      <c r="K6" s="33"/>
      <c r="L6" s="33"/>
      <c r="M6" s="33"/>
      <c r="N6" s="33">
        <f>$C$26*'E Balans VL '!Y12/100/3.6*1000000</f>
        <v>4.143268414758011</v>
      </c>
      <c r="O6" s="33"/>
      <c r="P6" s="33"/>
      <c r="R6" s="32"/>
    </row>
    <row r="7" spans="1:18">
      <c r="A7" s="32" t="s">
        <v>52</v>
      </c>
      <c r="B7" s="37">
        <f t="shared" ref="B7:B12" si="0">B27</f>
        <v>2757.6228162604998</v>
      </c>
      <c r="C7" s="33"/>
      <c r="D7" s="37">
        <f>IF(ISERROR(TER_horeca_gas_kWh/1000),0,TER_horeca_gas_kWh/1000)*0.903</f>
        <v>5584.5404426478253</v>
      </c>
      <c r="E7" s="33">
        <f>$C$27*'E Balans VL '!I9/100/3.6*1000000</f>
        <v>0</v>
      </c>
      <c r="F7" s="33">
        <f>$C$27*('E Balans VL '!L9+'E Balans VL '!N9)/100/3.6*1000000</f>
        <v>226.11858861891784</v>
      </c>
      <c r="G7" s="34"/>
      <c r="H7" s="33"/>
      <c r="I7" s="33"/>
      <c r="J7" s="33">
        <f>$C$27*('E Balans VL '!D9+'E Balans VL '!E9)/100/3.6*1000000</f>
        <v>0</v>
      </c>
      <c r="K7" s="33"/>
      <c r="L7" s="33"/>
      <c r="M7" s="33"/>
      <c r="N7" s="33">
        <f>$C$27*'E Balans VL '!Y9/100/3.6*1000000</f>
        <v>0.84532218634373035</v>
      </c>
      <c r="O7" s="33"/>
      <c r="P7" s="33"/>
      <c r="R7" s="32"/>
    </row>
    <row r="8" spans="1:18">
      <c r="A8" s="6" t="s">
        <v>51</v>
      </c>
      <c r="B8" s="37">
        <f t="shared" si="0"/>
        <v>9308.3132292124301</v>
      </c>
      <c r="C8" s="33"/>
      <c r="D8" s="37">
        <f>IF(ISERROR(TER_handel_gas_kWh/1000),0,TER_handel_gas_kWh/1000)*0.903</f>
        <v>6029.3922626641006</v>
      </c>
      <c r="E8" s="33">
        <f>$C$28*'E Balans VL '!I13/100/3.6*1000000</f>
        <v>32.71363351320867</v>
      </c>
      <c r="F8" s="33">
        <f>$C$28*('E Balans VL '!L13+'E Balans VL '!N13)/100/3.6*1000000</f>
        <v>851.69394430243722</v>
      </c>
      <c r="G8" s="34"/>
      <c r="H8" s="33"/>
      <c r="I8" s="33"/>
      <c r="J8" s="33">
        <f>$C$28*('E Balans VL '!D13+'E Balans VL '!E13)/100/3.6*1000000</f>
        <v>0</v>
      </c>
      <c r="K8" s="33"/>
      <c r="L8" s="33"/>
      <c r="M8" s="33"/>
      <c r="N8" s="33">
        <f>$C$28*'E Balans VL '!Y13/100/3.6*1000000</f>
        <v>3.371070313738755</v>
      </c>
      <c r="O8" s="33"/>
      <c r="P8" s="33"/>
      <c r="R8" s="32"/>
    </row>
    <row r="9" spans="1:18">
      <c r="A9" s="32" t="s">
        <v>50</v>
      </c>
      <c r="B9" s="37">
        <f t="shared" si="0"/>
        <v>1406.00097307175</v>
      </c>
      <c r="C9" s="33"/>
      <c r="D9" s="37">
        <f>IF(ISERROR(TER_gezond_gas_kWh/1000),0,TER_gezond_gas_kWh/1000)*0.903</f>
        <v>2786.0431945944806</v>
      </c>
      <c r="E9" s="33">
        <f>$C$29*'E Balans VL '!I10/100/3.6*1000000</f>
        <v>0</v>
      </c>
      <c r="F9" s="33">
        <f>$C$29*('E Balans VL '!L10+'E Balans VL '!N10)/100/3.6*1000000</f>
        <v>172.34990097544676</v>
      </c>
      <c r="G9" s="34"/>
      <c r="H9" s="33"/>
      <c r="I9" s="33"/>
      <c r="J9" s="33">
        <f>$C$29*('E Balans VL '!D10+'E Balans VL '!E10)/100/3.6*1000000</f>
        <v>0</v>
      </c>
      <c r="K9" s="33"/>
      <c r="L9" s="33"/>
      <c r="M9" s="33"/>
      <c r="N9" s="33">
        <f>$C$29*'E Balans VL '!Y10/100/3.6*1000000</f>
        <v>10.368277397827596</v>
      </c>
      <c r="O9" s="33"/>
      <c r="P9" s="33"/>
      <c r="R9" s="32"/>
    </row>
    <row r="10" spans="1:18">
      <c r="A10" s="32" t="s">
        <v>49</v>
      </c>
      <c r="B10" s="37">
        <f t="shared" si="0"/>
        <v>4777.57910933729</v>
      </c>
      <c r="C10" s="33"/>
      <c r="D10" s="37">
        <f>IF(ISERROR(TER_ander_gas_kWh/1000),0,TER_ander_gas_kWh/1000)*0.903</f>
        <v>10217.821985117342</v>
      </c>
      <c r="E10" s="33">
        <f>$C$30*'E Balans VL '!I14/100/3.6*1000000</f>
        <v>68.425478315729933</v>
      </c>
      <c r="F10" s="33">
        <f>$C$30*('E Balans VL '!L14+'E Balans VL '!N14)/100/3.6*1000000</f>
        <v>2844.255289461847</v>
      </c>
      <c r="G10" s="34"/>
      <c r="H10" s="33"/>
      <c r="I10" s="33"/>
      <c r="J10" s="33">
        <f>$C$30*('E Balans VL '!D14+'E Balans VL '!E14)/100/3.6*1000000</f>
        <v>4.7182511831298547E-2</v>
      </c>
      <c r="K10" s="33"/>
      <c r="L10" s="33"/>
      <c r="M10" s="33"/>
      <c r="N10" s="33">
        <f>$C$30*'E Balans VL '!Y14/100/3.6*1000000</f>
        <v>1705.151165476695</v>
      </c>
      <c r="O10" s="33"/>
      <c r="P10" s="33"/>
      <c r="R10" s="32"/>
    </row>
    <row r="11" spans="1:18">
      <c r="A11" s="32" t="s">
        <v>54</v>
      </c>
      <c r="B11" s="37">
        <f t="shared" si="0"/>
        <v>339.40423176667201</v>
      </c>
      <c r="C11" s="33"/>
      <c r="D11" s="37">
        <f>IF(ISERROR(TER_onderwijs_gas_kWh/1000),0,TER_onderwijs_gas_kWh/1000)*0.903</f>
        <v>1126.9683961936794</v>
      </c>
      <c r="E11" s="33">
        <f>$C$31*'E Balans VL '!I11/100/3.6*1000000</f>
        <v>0</v>
      </c>
      <c r="F11" s="33">
        <f>$C$31*('E Balans VL '!L11+'E Balans VL '!N11)/100/3.6*1000000</f>
        <v>39.680396459217945</v>
      </c>
      <c r="G11" s="34"/>
      <c r="H11" s="33"/>
      <c r="I11" s="33"/>
      <c r="J11" s="33">
        <f>$C$31*('E Balans VL '!D11+'E Balans VL '!E11)/100/3.6*1000000</f>
        <v>0</v>
      </c>
      <c r="K11" s="33"/>
      <c r="L11" s="33"/>
      <c r="M11" s="33"/>
      <c r="N11" s="33">
        <f>$C$31*'E Balans VL '!Y11/100/3.6*1000000</f>
        <v>0.95572334245386115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26745.79106487946</v>
      </c>
      <c r="C16" s="21">
        <f t="shared" ca="1" si="1"/>
        <v>0</v>
      </c>
      <c r="D16" s="21">
        <f t="shared" ca="1" si="1"/>
        <v>31003.548543104622</v>
      </c>
      <c r="E16" s="21">
        <f t="shared" si="1"/>
        <v>103.09330416420272</v>
      </c>
      <c r="F16" s="21">
        <f t="shared" ca="1" si="1"/>
        <v>4907.6045882943272</v>
      </c>
      <c r="G16" s="21">
        <f t="shared" si="1"/>
        <v>0</v>
      </c>
      <c r="H16" s="21">
        <f t="shared" si="1"/>
        <v>0</v>
      </c>
      <c r="I16" s="21">
        <f t="shared" si="1"/>
        <v>0</v>
      </c>
      <c r="J16" s="21">
        <f t="shared" si="1"/>
        <v>4.7182511831298547E-2</v>
      </c>
      <c r="K16" s="21">
        <f t="shared" si="1"/>
        <v>0</v>
      </c>
      <c r="L16" s="21">
        <f t="shared" ca="1" si="1"/>
        <v>0</v>
      </c>
      <c r="M16" s="21">
        <f t="shared" si="1"/>
        <v>0</v>
      </c>
      <c r="N16" s="21">
        <f t="shared" ca="1" si="1"/>
        <v>1724.8348271318171</v>
      </c>
      <c r="O16" s="21">
        <f>O5</f>
        <v>9.7945215316823084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0.18563113666677461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4964.8515964256385</v>
      </c>
      <c r="C20" s="23">
        <f t="shared" ref="C20:P20" ca="1" si="2">C16*C18</f>
        <v>0</v>
      </c>
      <c r="D20" s="23">
        <f t="shared" ca="1" si="2"/>
        <v>6262.716805707134</v>
      </c>
      <c r="E20" s="23">
        <f t="shared" si="2"/>
        <v>23.402180045274019</v>
      </c>
      <c r="F20" s="23">
        <f t="shared" ca="1" si="2"/>
        <v>1310.3304250745855</v>
      </c>
      <c r="G20" s="23">
        <f t="shared" si="2"/>
        <v>0</v>
      </c>
      <c r="H20" s="23">
        <f t="shared" si="2"/>
        <v>0</v>
      </c>
      <c r="I20" s="23">
        <f t="shared" si="2"/>
        <v>0</v>
      </c>
      <c r="J20" s="23">
        <f t="shared" si="2"/>
        <v>1.6702609188279684E-2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8156.87070523082</v>
      </c>
      <c r="C26" s="39">
        <f>IF(ISERROR(B26*3.6/1000000/'E Balans VL '!Z12*100),0,B26*3.6/1000000/'E Balans VL '!Z12*100)</f>
        <v>0.23004535437477308</v>
      </c>
      <c r="D26" s="233" t="s">
        <v>691</v>
      </c>
      <c r="F26" s="6"/>
    </row>
    <row r="27" spans="1:18">
      <c r="A27" s="228" t="s">
        <v>52</v>
      </c>
      <c r="B27" s="33">
        <f>IF(ISERROR(TER_horeca_ele_kWh/1000),0,TER_horeca_ele_kWh/1000)</f>
        <v>2757.6228162604998</v>
      </c>
      <c r="C27" s="39">
        <f>IF(ISERROR(B27*3.6/1000000/'E Balans VL '!Z9*100),0,B27*3.6/1000000/'E Balans VL '!Z9*100)</f>
        <v>0.20444385531949533</v>
      </c>
      <c r="D27" s="233" t="s">
        <v>691</v>
      </c>
      <c r="F27" s="6"/>
    </row>
    <row r="28" spans="1:18">
      <c r="A28" s="168" t="s">
        <v>51</v>
      </c>
      <c r="B28" s="33">
        <f>IF(ISERROR(TER_handel_ele_kWh/1000),0,TER_handel_ele_kWh/1000)</f>
        <v>9308.3132292124301</v>
      </c>
      <c r="C28" s="39">
        <f>IF(ISERROR(B28*3.6/1000000/'E Balans VL '!Z13*100),0,B28*3.6/1000000/'E Balans VL '!Z13*100)</f>
        <v>0.27885493300621061</v>
      </c>
      <c r="D28" s="233" t="s">
        <v>691</v>
      </c>
      <c r="F28" s="6"/>
    </row>
    <row r="29" spans="1:18">
      <c r="A29" s="228" t="s">
        <v>50</v>
      </c>
      <c r="B29" s="33">
        <f>IF(ISERROR(TER_gezond_ele_kWh/1000),0,TER_gezond_ele_kWh/1000)</f>
        <v>1406.00097307175</v>
      </c>
      <c r="C29" s="39">
        <f>IF(ISERROR(B29*3.6/1000000/'E Balans VL '!Z10*100),0,B29*3.6/1000000/'E Balans VL '!Z10*100)</f>
        <v>0.13902592729676136</v>
      </c>
      <c r="D29" s="233" t="s">
        <v>691</v>
      </c>
      <c r="F29" s="6"/>
    </row>
    <row r="30" spans="1:18">
      <c r="A30" s="228" t="s">
        <v>49</v>
      </c>
      <c r="B30" s="33">
        <f>IF(ISERROR(TER_ander_ele_kWh/1000),0,TER_ander_ele_kWh/1000)</f>
        <v>4777.57910933729</v>
      </c>
      <c r="C30" s="39">
        <f>IF(ISERROR(B30*3.6/1000000/'E Balans VL '!Z14*100),0,B30*3.6/1000000/'E Balans VL '!Z14*100)</f>
        <v>0.19323895630565957</v>
      </c>
      <c r="D30" s="233" t="s">
        <v>691</v>
      </c>
      <c r="F30" s="6"/>
    </row>
    <row r="31" spans="1:18">
      <c r="A31" s="228" t="s">
        <v>54</v>
      </c>
      <c r="B31" s="33">
        <f>IF(ISERROR(TER_onderwijs_ele_kWh/1000),0,TER_onderwijs_ele_kWh/1000)</f>
        <v>339.40423176667201</v>
      </c>
      <c r="C31" s="39">
        <f>IF(ISERROR(B31*3.6/1000000/'E Balans VL '!Z11*100),0,B31*3.6/1000000/'E Balans VL '!Z11*100)</f>
        <v>9.3249186186851032E-2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9</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18180.783878200495</v>
      </c>
      <c r="C5" s="17">
        <f>IF(ISERROR('Eigen informatie GS &amp; warmtenet'!B61),0,'Eigen informatie GS &amp; warmtenet'!B61)</f>
        <v>0</v>
      </c>
      <c r="D5" s="30">
        <f>SUM(D6:D15)</f>
        <v>60410.045838796519</v>
      </c>
      <c r="E5" s="17">
        <f>SUM(E6:E15)</f>
        <v>136.98141914223731</v>
      </c>
      <c r="F5" s="17">
        <f>SUM(F6:F15)</f>
        <v>4328.5328525680179</v>
      </c>
      <c r="G5" s="18"/>
      <c r="H5" s="17"/>
      <c r="I5" s="17"/>
      <c r="J5" s="17">
        <f>SUM(J6:J15)</f>
        <v>12.390523797701274</v>
      </c>
      <c r="K5" s="17"/>
      <c r="L5" s="17"/>
      <c r="M5" s="17"/>
      <c r="N5" s="17">
        <f>SUM(N6:N15)</f>
        <v>464.73975382641356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6491.8486137239997</v>
      </c>
      <c r="C8" s="33"/>
      <c r="D8" s="37">
        <f>IF( ISERROR(IND_metaal_Gas_kWH/1000),0,IND_metaal_Gas_kWH/1000)*0.903</f>
        <v>56240.787034859146</v>
      </c>
      <c r="E8" s="33">
        <f>C30*'E Balans VL '!I18/100/3.6*1000000</f>
        <v>32.733033403765781</v>
      </c>
      <c r="F8" s="33">
        <f>C30*'E Balans VL '!L18/100/3.6*1000000+C30*'E Balans VL '!N18/100/3.6*1000000</f>
        <v>443.53636306434203</v>
      </c>
      <c r="G8" s="34"/>
      <c r="H8" s="33"/>
      <c r="I8" s="33"/>
      <c r="J8" s="40">
        <f>C30*'E Balans VL '!D18/100/3.6*1000000+C30*'E Balans VL '!E18/100/3.6*1000000</f>
        <v>5.7555775578869008</v>
      </c>
      <c r="K8" s="33"/>
      <c r="L8" s="33"/>
      <c r="M8" s="33"/>
      <c r="N8" s="33">
        <f>C30*'E Balans VL '!Y18/100/3.6*1000000</f>
        <v>86.276706602444733</v>
      </c>
      <c r="O8" s="33"/>
      <c r="P8" s="33"/>
      <c r="R8" s="32"/>
    </row>
    <row r="9" spans="1:18">
      <c r="A9" s="6" t="s">
        <v>32</v>
      </c>
      <c r="B9" s="37">
        <f t="shared" si="0"/>
        <v>5849.9942888350697</v>
      </c>
      <c r="C9" s="33"/>
      <c r="D9" s="37">
        <f>IF( ISERROR(IND_andere_gas_kWh/1000),0,IND_andere_gas_kWh/1000)*0.903</f>
        <v>3327.6298175028555</v>
      </c>
      <c r="E9" s="33">
        <f>C31*'E Balans VL '!I19/100/3.6*1000000</f>
        <v>18.440564605395643</v>
      </c>
      <c r="F9" s="33">
        <f>C31*'E Balans VL '!L19/100/3.6*1000000+C31*'E Balans VL '!N19/100/3.6*1000000</f>
        <v>3581.1204604033114</v>
      </c>
      <c r="G9" s="34"/>
      <c r="H9" s="33"/>
      <c r="I9" s="33"/>
      <c r="J9" s="40">
        <f>C31*'E Balans VL '!D19/100/3.6*1000000+C31*'E Balans VL '!E19/100/3.6*1000000</f>
        <v>0</v>
      </c>
      <c r="K9" s="33"/>
      <c r="L9" s="33"/>
      <c r="M9" s="33"/>
      <c r="N9" s="33">
        <f>C31*'E Balans VL '!Y19/100/3.6*1000000</f>
        <v>245.29820377515128</v>
      </c>
      <c r="O9" s="33"/>
      <c r="P9" s="33"/>
      <c r="R9" s="32"/>
    </row>
    <row r="10" spans="1:18">
      <c r="A10" s="6" t="s">
        <v>40</v>
      </c>
      <c r="B10" s="37">
        <f t="shared" si="0"/>
        <v>2451.13658335726</v>
      </c>
      <c r="C10" s="33"/>
      <c r="D10" s="37">
        <f>IF( ISERROR(IND_voed_gas_kWh/1000),0,IND_voed_gas_kWh/1000)*0.903</f>
        <v>700.45949562670148</v>
      </c>
      <c r="E10" s="33">
        <f>C32*'E Balans VL '!I20/100/3.6*1000000</f>
        <v>3.9064233288157379</v>
      </c>
      <c r="F10" s="33">
        <f>C32*'E Balans VL '!L20/100/3.6*1000000+C32*'E Balans VL '!N20/100/3.6*1000000</f>
        <v>39.825014993829022</v>
      </c>
      <c r="G10" s="34"/>
      <c r="H10" s="33"/>
      <c r="I10" s="33"/>
      <c r="J10" s="40">
        <f>C32*'E Balans VL '!D20/100/3.6*1000000+C32*'E Balans VL '!E20/100/3.6*1000000</f>
        <v>0</v>
      </c>
      <c r="K10" s="33"/>
      <c r="L10" s="33"/>
      <c r="M10" s="33"/>
      <c r="N10" s="33">
        <f>C32*'E Balans VL '!Y20/100/3.6*1000000</f>
        <v>77.41913519014966</v>
      </c>
      <c r="O10" s="33"/>
      <c r="P10" s="33"/>
      <c r="R10" s="32"/>
    </row>
    <row r="11" spans="1:18">
      <c r="A11" s="6" t="s">
        <v>39</v>
      </c>
      <c r="B11" s="37">
        <f t="shared" si="0"/>
        <v>17.620371394808</v>
      </c>
      <c r="C11" s="33"/>
      <c r="D11" s="37">
        <f>IF( ISERROR(IND_textiel_gas_kWh/1000),0,IND_textiel_gas_kWh/1000)*0.903</f>
        <v>0</v>
      </c>
      <c r="E11" s="33">
        <f>C33*'E Balans VL '!I21/100/3.6*1000000</f>
        <v>2.5563939147307951E-2</v>
      </c>
      <c r="F11" s="33">
        <f>C33*'E Balans VL '!L21/100/3.6*1000000+C33*'E Balans VL '!N21/100/3.6*1000000</f>
        <v>0.34484198958740903</v>
      </c>
      <c r="G11" s="34"/>
      <c r="H11" s="33"/>
      <c r="I11" s="33"/>
      <c r="J11" s="40">
        <f>C33*'E Balans VL '!D21/100/3.6*1000000+C33*'E Balans VL '!E21/100/3.6*1000000</f>
        <v>0</v>
      </c>
      <c r="K11" s="33"/>
      <c r="L11" s="33"/>
      <c r="M11" s="33"/>
      <c r="N11" s="33">
        <f>C33*'E Balans VL '!Y21/100/3.6*1000000</f>
        <v>0.85842450416357174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121.888805055955</v>
      </c>
      <c r="C13" s="33"/>
      <c r="D13" s="37">
        <f>IF( ISERROR(IND_papier_gas_kWh/1000),0,IND_papier_gas_kWh/1000)*0.903</f>
        <v>102.52015462559051</v>
      </c>
      <c r="E13" s="33">
        <f>C35*'E Balans VL '!I23/100/3.6*1000000</f>
        <v>0</v>
      </c>
      <c r="F13" s="33">
        <f>C35*'E Balans VL '!L23/100/3.6*1000000+C35*'E Balans VL '!N23/100/3.6*1000000</f>
        <v>5.2807898033237948E-3</v>
      </c>
      <c r="G13" s="34"/>
      <c r="H13" s="33"/>
      <c r="I13" s="33"/>
      <c r="J13" s="40">
        <f>C35*'E Balans VL '!D23/100/3.6*1000000+C35*'E Balans VL '!E23/100/3.6*1000000</f>
        <v>3.3586178989433511E-3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3248.2952158334001</v>
      </c>
      <c r="C15" s="33"/>
      <c r="D15" s="37">
        <f>IF( ISERROR(IND_rest_gas_kWh/1000),0,IND_rest_gas_kWh/1000)*0.903</f>
        <v>38.649336182223415</v>
      </c>
      <c r="E15" s="33">
        <f>C37*'E Balans VL '!I15/100/3.6*1000000</f>
        <v>81.875833865112838</v>
      </c>
      <c r="F15" s="33">
        <f>C37*'E Balans VL '!L15/100/3.6*1000000+C37*'E Balans VL '!N15/100/3.6*1000000</f>
        <v>263.70089132714435</v>
      </c>
      <c r="G15" s="34"/>
      <c r="H15" s="33"/>
      <c r="I15" s="33"/>
      <c r="J15" s="40">
        <f>C37*'E Balans VL '!D15/100/3.6*1000000+C37*'E Balans VL '!E15/100/3.6*1000000</f>
        <v>6.6315876219154308</v>
      </c>
      <c r="K15" s="33"/>
      <c r="L15" s="33"/>
      <c r="M15" s="33"/>
      <c r="N15" s="33">
        <f>C37*'E Balans VL '!Y15/100/3.6*1000000</f>
        <v>54.887283754504402</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18180.783878200495</v>
      </c>
      <c r="C18" s="21">
        <f>C5+C16</f>
        <v>0</v>
      </c>
      <c r="D18" s="21">
        <f>MAX((D5+D16),0)</f>
        <v>60410.045838796519</v>
      </c>
      <c r="E18" s="21">
        <f>MAX((E5+E16),0)</f>
        <v>136.98141914223731</v>
      </c>
      <c r="F18" s="21">
        <f>MAX((F5+F16),0)</f>
        <v>4328.5328525680179</v>
      </c>
      <c r="G18" s="21"/>
      <c r="H18" s="21"/>
      <c r="I18" s="21"/>
      <c r="J18" s="21">
        <f>MAX((J5+J16),0)</f>
        <v>12.390523797701274</v>
      </c>
      <c r="K18" s="21"/>
      <c r="L18" s="21">
        <f>MAX((L5+L16),0)</f>
        <v>0</v>
      </c>
      <c r="M18" s="21"/>
      <c r="N18" s="21">
        <f>MAX((N5+N16),0)</f>
        <v>464.73975382641356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0.18563113666677461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3374.9195768033287</v>
      </c>
      <c r="C22" s="23">
        <f ca="1">C18*C20</f>
        <v>0</v>
      </c>
      <c r="D22" s="23">
        <f>D18*D20</f>
        <v>12202.829259436898</v>
      </c>
      <c r="E22" s="23">
        <f>E18*E20</f>
        <v>31.094782145287873</v>
      </c>
      <c r="F22" s="23">
        <f>F18*F20</f>
        <v>1155.7182716356608</v>
      </c>
      <c r="G22" s="23"/>
      <c r="H22" s="23"/>
      <c r="I22" s="23"/>
      <c r="J22" s="23">
        <f>J18*J20</f>
        <v>4.3862454243862503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6491.8486137239997</v>
      </c>
      <c r="C30" s="39">
        <f>IF(ISERROR(B30*3.6/1000000/'E Balans VL '!Z18*100),0,B30*3.6/1000000/'E Balans VL '!Z18*100)</f>
        <v>0.3222407341896234</v>
      </c>
      <c r="D30" s="233" t="s">
        <v>691</v>
      </c>
    </row>
    <row r="31" spans="1:18">
      <c r="A31" s="6" t="s">
        <v>32</v>
      </c>
      <c r="B31" s="37">
        <f>IF( ISERROR(IND_ander_ele_kWh/1000),0,IND_ander_ele_kWh/1000)</f>
        <v>5849.9942888350697</v>
      </c>
      <c r="C31" s="39">
        <f>IF(ISERROR(B31*3.6/1000000/'E Balans VL '!Z19*100),0,B31*3.6/1000000/'E Balans VL '!Z19*100)</f>
        <v>0.19740733002260616</v>
      </c>
      <c r="D31" s="233" t="s">
        <v>691</v>
      </c>
    </row>
    <row r="32" spans="1:18">
      <c r="A32" s="168" t="s">
        <v>40</v>
      </c>
      <c r="B32" s="37">
        <f>IF( ISERROR(IND_voed_ele_kWh/1000),0,IND_voed_ele_kWh/1000)</f>
        <v>2451.13658335726</v>
      </c>
      <c r="C32" s="39">
        <f>IF(ISERROR(B32*3.6/1000000/'E Balans VL '!Z20*100),0,B32*3.6/1000000/'E Balans VL '!Z20*100)</f>
        <v>5.7563258926104879E-2</v>
      </c>
      <c r="D32" s="233" t="s">
        <v>691</v>
      </c>
    </row>
    <row r="33" spans="1:5">
      <c r="A33" s="168" t="s">
        <v>39</v>
      </c>
      <c r="B33" s="37">
        <f>IF( ISERROR(IND_textiel_ele_kWh/1000),0,IND_textiel_ele_kWh/1000)</f>
        <v>17.620371394808</v>
      </c>
      <c r="C33" s="39">
        <f>IF(ISERROR(B33*3.6/1000000/'E Balans VL '!Z21*100),0,B33*3.6/1000000/'E Balans VL '!Z21*100)</f>
        <v>1.9338134257261739E-3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121.888805055955</v>
      </c>
      <c r="C35" s="39">
        <f>IF(ISERROR(B35*3.6/1000000/'E Balans VL '!Z22*100),0,B35*3.6/1000000/'E Balans VL '!Z22*100)</f>
        <v>1.7292457231915578E-2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3248.2952158334001</v>
      </c>
      <c r="C37" s="39">
        <f>IF(ISERROR(B37*3.6/1000000/'E Balans VL '!Z15*100),0,B37*3.6/1000000/'E Balans VL '!Z15*100)</f>
        <v>1.2173081180291487E-2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4852.6680779012895</v>
      </c>
      <c r="C5" s="17">
        <f>'Eigen informatie GS &amp; warmtenet'!B62</f>
        <v>0</v>
      </c>
      <c r="D5" s="30">
        <f>IF(ISERROR(SUM(LB_lb_gas_kWh,LB_rest_gas_kWh)/1000),0,SUM(LB_lb_gas_kWh,LB_rest_gas_kWh)/1000)*0.903</f>
        <v>66304.900976176548</v>
      </c>
      <c r="E5" s="17">
        <f>B17*'E Balans VL '!I25/3.6*1000000/100</f>
        <v>180.97083587773443</v>
      </c>
      <c r="F5" s="17">
        <f>B17*('E Balans VL '!L25/3.6*1000000+'E Balans VL '!N25/3.6*1000000)/100</f>
        <v>15743.930389468527</v>
      </c>
      <c r="G5" s="18"/>
      <c r="H5" s="17"/>
      <c r="I5" s="17"/>
      <c r="J5" s="17">
        <f>('E Balans VL '!D25+'E Balans VL '!E25)/3.6*1000000*landbouw!B17/100</f>
        <v>1273.8493276207394</v>
      </c>
      <c r="K5" s="17"/>
      <c r="L5" s="17">
        <f>L6*(-1)</f>
        <v>0</v>
      </c>
      <c r="M5" s="17"/>
      <c r="N5" s="17">
        <f>N6*(-1)</f>
        <v>0</v>
      </c>
      <c r="O5" s="17"/>
      <c r="P5" s="17"/>
      <c r="R5" s="32"/>
    </row>
    <row r="6" spans="1:18">
      <c r="A6" s="16" t="s">
        <v>473</v>
      </c>
      <c r="B6" s="17" t="s">
        <v>210</v>
      </c>
      <c r="C6" s="17">
        <f>'lokale energieproductie'!O40+'lokale energieproductie'!O33</f>
        <v>27006.428571428572</v>
      </c>
      <c r="D6" s="304">
        <f>('lokale energieproductie'!P33+'lokale energieproductie'!P40)*(-1)</f>
        <v>-54012.857142857145</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4852.6680779012895</v>
      </c>
      <c r="C8" s="21">
        <f>C5+C6</f>
        <v>27006.428571428572</v>
      </c>
      <c r="D8" s="21">
        <f>MAX((D5+D6),0)</f>
        <v>12292.043833319403</v>
      </c>
      <c r="E8" s="21">
        <f>MAX((E5+E6),0)</f>
        <v>180.97083587773443</v>
      </c>
      <c r="F8" s="21">
        <f>MAX((F5+F6),0)</f>
        <v>15743.930389468527</v>
      </c>
      <c r="G8" s="21"/>
      <c r="H8" s="21"/>
      <c r="I8" s="21"/>
      <c r="J8" s="21">
        <f>MAX((J5+J6),0)</f>
        <v>1273.8493276207394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0.18563113666677461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900.80629116738874</v>
      </c>
      <c r="C12" s="23">
        <f ca="1">C8*C10</f>
        <v>6417.9983193277312</v>
      </c>
      <c r="D12" s="23">
        <f>D8*D10</f>
        <v>2482.9928543305195</v>
      </c>
      <c r="E12" s="23">
        <f>E8*E10</f>
        <v>41.080379744245718</v>
      </c>
      <c r="F12" s="23">
        <f>F8*F10</f>
        <v>4203.6294139880974</v>
      </c>
      <c r="G12" s="23"/>
      <c r="H12" s="23"/>
      <c r="I12" s="23"/>
      <c r="J12" s="23">
        <f>J8*J10</f>
        <v>450.94266197774169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0.66650129737332664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711.4778788052829</v>
      </c>
      <c r="C26" s="243">
        <f>B26*'GWP N2O_CH4'!B5</f>
        <v>14941.035454910942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421.24441841196341</v>
      </c>
      <c r="C27" s="243">
        <f>B27*'GWP N2O_CH4'!B5</f>
        <v>8846.1327866512311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12.037425598248255</v>
      </c>
      <c r="C28" s="243">
        <f>B28*'GWP N2O_CH4'!B4</f>
        <v>3731.6019354569589</v>
      </c>
      <c r="D28" s="50"/>
    </row>
    <row r="29" spans="1:4">
      <c r="A29" s="41" t="s">
        <v>272</v>
      </c>
      <c r="B29" s="243">
        <f>B34*'ha_N2O bodem landbouw'!B4</f>
        <v>22.8863876561336</v>
      </c>
      <c r="C29" s="243">
        <f>B29*'GWP N2O_CH4'!B4</f>
        <v>7094.7801734014156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5.2158731060505184E-3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1.2553066273167355E-3</v>
      </c>
      <c r="C5" s="434" t="s">
        <v>210</v>
      </c>
      <c r="D5" s="419">
        <f>SUM(D6:D11)</f>
        <v>2.0367149178531605E-3</v>
      </c>
      <c r="E5" s="419">
        <f>SUM(E6:E11)</f>
        <v>1.2404169785595774E-3</v>
      </c>
      <c r="F5" s="432" t="s">
        <v>210</v>
      </c>
      <c r="G5" s="419">
        <f>SUM(G6:G11)</f>
        <v>0.59162592384576129</v>
      </c>
      <c r="H5" s="419">
        <f>SUM(H6:H11)</f>
        <v>0.1266230736843153</v>
      </c>
      <c r="I5" s="434" t="s">
        <v>210</v>
      </c>
      <c r="J5" s="434" t="s">
        <v>210</v>
      </c>
      <c r="K5" s="434" t="s">
        <v>210</v>
      </c>
      <c r="L5" s="434" t="s">
        <v>210</v>
      </c>
      <c r="M5" s="419">
        <f>SUM(M6:M11)</f>
        <v>4.2111706782769327E-2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3.8231403160244334E-4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6.6434158030554856E-4</v>
      </c>
      <c r="E6" s="885">
        <f>vkm_GW_PW*SUMIFS(TableVerdeelsleutelVkm[LPG],TableVerdeelsleutelVkm[Voertuigtype],"Lichte voertuigen")*SUMIFS(TableECFTransport[EnergieConsumptieFactor (PJ per km)],TableECFTransport[Index],CONCATENATE($A6,"_LPG_LPG"))</f>
        <v>3.6941725569877577E-4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0.11101339773570834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4.0475855935556651E-2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9.0639764877379729E-3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1.9925422231340526E-6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8.2466336883526947E-2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8.389437937380095E-7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4.6429819051541565E-3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1.7982448829986065E-4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4.0121399548518054E-4</v>
      </c>
      <c r="E8" s="422">
        <f>vkm_NGW_PW*SUMIFS(TableVerdeelsleutelVkm[LPG],TableVerdeelsleutelVkm[Voertuigtype],"Lichte voertuigen")*SUMIFS(TableECFTransport[EnergieConsumptieFactor (PJ per km)],TableECFTransport[Index],CONCATENATE($A8,"_LPG_LPG"))</f>
        <v>2.1368574264754673E-4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5.9096702196478015E-2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2.414516462203985E-2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5.0057345046170664E-3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2.4313723603187319E-7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1.2958595998642216E-2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1.2356436853392679E-7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7.2958835841872784E-4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6.8718518896499262E-4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9.7115934206243152E-4</v>
      </c>
      <c r="E10" s="422">
        <f>vkm_SW_PW*SUMIFS(TableVerdeelsleutelVkm[LPG],TableVerdeelsleutelVkm[Voertuigtype],"Lichte voertuigen")*SUMIFS(TableECFTransport[EnergieConsumptieFactor (PJ per km)],TableECFTransport[Index],CONCATENATE($A10,"_LPG_LPG"))</f>
        <v>6.5731398021325494E-4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0.1795751964426224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6.199946668908296E-2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1.4420356763926223E-2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3.7472389902728091E-6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0.14651569458878339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1.6239294735691874E-6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8.2490687629151807E-3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348.69628536575982</v>
      </c>
      <c r="C14" s="21"/>
      <c r="D14" s="21">
        <f t="shared" ref="D14:M14" si="0">((D5)*10^9/3600)+D12</f>
        <v>565.75414384810017</v>
      </c>
      <c r="E14" s="21">
        <f t="shared" si="0"/>
        <v>344.56027182210482</v>
      </c>
      <c r="F14" s="21"/>
      <c r="G14" s="21">
        <f t="shared" si="0"/>
        <v>164340.53440160037</v>
      </c>
      <c r="H14" s="21">
        <f t="shared" si="0"/>
        <v>35173.076023420916</v>
      </c>
      <c r="I14" s="21"/>
      <c r="J14" s="21"/>
      <c r="K14" s="21"/>
      <c r="L14" s="21"/>
      <c r="M14" s="21">
        <f t="shared" si="0"/>
        <v>11697.696328547036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0.18563113666677461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64.728887803928004</v>
      </c>
      <c r="C18" s="23"/>
      <c r="D18" s="23">
        <f t="shared" ref="D18:M18" si="1">D14*D16</f>
        <v>114.28233705731624</v>
      </c>
      <c r="E18" s="23">
        <f t="shared" si="1"/>
        <v>78.215181703617802</v>
      </c>
      <c r="F18" s="23"/>
      <c r="G18" s="23">
        <f t="shared" si="1"/>
        <v>43878.922685227299</v>
      </c>
      <c r="H18" s="23">
        <f t="shared" si="1"/>
        <v>8758.0959298318085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8.8360129724247933E-5</v>
      </c>
      <c r="C50" s="315">
        <f t="shared" ref="C50:P50" si="2">SUM(C51:C52)</f>
        <v>0</v>
      </c>
      <c r="D50" s="315">
        <f t="shared" si="2"/>
        <v>0</v>
      </c>
      <c r="E50" s="315">
        <f t="shared" si="2"/>
        <v>0</v>
      </c>
      <c r="F50" s="315">
        <f t="shared" si="2"/>
        <v>0</v>
      </c>
      <c r="G50" s="315">
        <f t="shared" si="2"/>
        <v>6.3069867674470413E-3</v>
      </c>
      <c r="H50" s="315">
        <f t="shared" si="2"/>
        <v>0</v>
      </c>
      <c r="I50" s="315">
        <f t="shared" si="2"/>
        <v>0</v>
      </c>
      <c r="J50" s="315">
        <f t="shared" si="2"/>
        <v>0</v>
      </c>
      <c r="K50" s="315">
        <f t="shared" si="2"/>
        <v>0</v>
      </c>
      <c r="L50" s="315">
        <f t="shared" si="2"/>
        <v>0</v>
      </c>
      <c r="M50" s="315">
        <f t="shared" si="2"/>
        <v>3.4826294071338561E-4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8.8360129724247933E-5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6.3069867674470413E-3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3.4826294071338561E-4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24.544480478957759</v>
      </c>
      <c r="C54" s="21">
        <f t="shared" ref="C54:P54" si="3">(C50)*10^9/3600</f>
        <v>0</v>
      </c>
      <c r="D54" s="21">
        <f t="shared" si="3"/>
        <v>0</v>
      </c>
      <c r="E54" s="21">
        <f t="shared" si="3"/>
        <v>0</v>
      </c>
      <c r="F54" s="21">
        <f t="shared" si="3"/>
        <v>0</v>
      </c>
      <c r="G54" s="21">
        <f t="shared" si="3"/>
        <v>1751.9407687352893</v>
      </c>
      <c r="H54" s="21">
        <f t="shared" si="3"/>
        <v>0</v>
      </c>
      <c r="I54" s="21">
        <f t="shared" si="3"/>
        <v>0</v>
      </c>
      <c r="J54" s="21">
        <f t="shared" si="3"/>
        <v>0</v>
      </c>
      <c r="K54" s="21">
        <f t="shared" si="3"/>
        <v>0</v>
      </c>
      <c r="L54" s="21">
        <f t="shared" si="3"/>
        <v>0</v>
      </c>
      <c r="M54" s="21">
        <f t="shared" si="3"/>
        <v>96.739705753718212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0.18563113666677461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4.5562198102043894</v>
      </c>
      <c r="C58" s="23">
        <f t="shared" ref="C58:P58" ca="1" si="4">C54*C56</f>
        <v>0</v>
      </c>
      <c r="D58" s="23">
        <f t="shared" si="4"/>
        <v>0</v>
      </c>
      <c r="E58" s="23">
        <f t="shared" si="4"/>
        <v>0</v>
      </c>
      <c r="F58" s="23">
        <f t="shared" si="4"/>
        <v>0</v>
      </c>
      <c r="G58" s="23">
        <f t="shared" si="4"/>
        <v>467.76818525232227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3357.1307036341532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13336.404458334513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18904.5</v>
      </c>
      <c r="C8" s="544">
        <f>B49</f>
        <v>22240.588235294119</v>
      </c>
      <c r="D8" s="545"/>
      <c r="E8" s="545">
        <f>E49</f>
        <v>0</v>
      </c>
      <c r="F8" s="546"/>
      <c r="G8" s="547"/>
      <c r="H8" s="545">
        <f>I49</f>
        <v>0</v>
      </c>
      <c r="I8" s="545">
        <f>G49+F49</f>
        <v>0</v>
      </c>
      <c r="J8" s="545">
        <f>H49+D49+C49</f>
        <v>0</v>
      </c>
      <c r="K8" s="545"/>
      <c r="L8" s="545"/>
      <c r="M8" s="545"/>
      <c r="N8" s="548"/>
      <c r="O8" s="549">
        <f>C8*$C$12+D8*$D$12+E8*$E$12+F8*$F$12+G8*$G$12+H8*$H$12+I8*$I$12+J8*$J$12</f>
        <v>4492.5988235294126</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35598.03516196867</v>
      </c>
      <c r="C10" s="559">
        <f t="shared" ref="C10:L10" si="0">SUM(C8:C9)</f>
        <v>22240.588235294119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4492.5988235294126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27006.428571428572</v>
      </c>
      <c r="C17" s="575">
        <f>B50</f>
        <v>31772.268907563026</v>
      </c>
      <c r="D17" s="576"/>
      <c r="E17" s="576">
        <f>E50</f>
        <v>0</v>
      </c>
      <c r="F17" s="577"/>
      <c r="G17" s="578"/>
      <c r="H17" s="575">
        <f>I50</f>
        <v>0</v>
      </c>
      <c r="I17" s="576">
        <f>G50+F50</f>
        <v>0</v>
      </c>
      <c r="J17" s="576">
        <f>H50+D50+C50</f>
        <v>0</v>
      </c>
      <c r="K17" s="576"/>
      <c r="L17" s="576"/>
      <c r="M17" s="576"/>
      <c r="N17" s="961"/>
      <c r="O17" s="579">
        <f>C17*$C$22+E17*$E$22+H17*$H$22+I17*$I$22+J17*$J$22+D17*$D$22+F17*$F$22+G17*$G$22+K17*$K$22+L17*$L$22</f>
        <v>6417.9983193277312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27006.428571428572</v>
      </c>
      <c r="C20" s="558">
        <f>SUM(C17:C19)</f>
        <v>31772.268907563026</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6417.9983193277312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31040</v>
      </c>
      <c r="C28" s="786">
        <v>8210</v>
      </c>
      <c r="D28" s="636" t="s">
        <v>883</v>
      </c>
      <c r="E28" s="635" t="s">
        <v>884</v>
      </c>
      <c r="F28" s="635" t="s">
        <v>885</v>
      </c>
      <c r="G28" s="635" t="s">
        <v>886</v>
      </c>
      <c r="H28" s="635" t="s">
        <v>887</v>
      </c>
      <c r="I28" s="635" t="s">
        <v>884</v>
      </c>
      <c r="J28" s="785">
        <v>41039</v>
      </c>
      <c r="K28" s="785">
        <v>38899</v>
      </c>
      <c r="L28" s="635" t="s">
        <v>888</v>
      </c>
      <c r="M28" s="635">
        <v>1156</v>
      </c>
      <c r="N28" s="635">
        <v>5202</v>
      </c>
      <c r="O28" s="635">
        <v>7431.4285714285716</v>
      </c>
      <c r="P28" s="635">
        <v>14862.857142857143</v>
      </c>
      <c r="Q28" s="635">
        <v>0</v>
      </c>
      <c r="R28" s="635">
        <v>0</v>
      </c>
      <c r="S28" s="635">
        <v>0</v>
      </c>
      <c r="T28" s="635">
        <v>0</v>
      </c>
      <c r="U28" s="635">
        <v>0</v>
      </c>
      <c r="V28" s="635">
        <v>0</v>
      </c>
      <c r="W28" s="635">
        <v>0</v>
      </c>
      <c r="X28" s="635">
        <v>10</v>
      </c>
      <c r="Y28" s="635" t="s">
        <v>111</v>
      </c>
      <c r="Z28" s="637" t="s">
        <v>111</v>
      </c>
    </row>
    <row r="29" spans="1:26" s="589" customFormat="1" ht="25.5">
      <c r="A29" s="588"/>
      <c r="B29" s="786">
        <v>31040</v>
      </c>
      <c r="C29" s="786">
        <v>8210</v>
      </c>
      <c r="D29" s="636" t="s">
        <v>889</v>
      </c>
      <c r="E29" s="635" t="s">
        <v>890</v>
      </c>
      <c r="F29" s="635" t="s">
        <v>891</v>
      </c>
      <c r="G29" s="635" t="s">
        <v>886</v>
      </c>
      <c r="H29" s="635" t="s">
        <v>887</v>
      </c>
      <c r="I29" s="635" t="s">
        <v>890</v>
      </c>
      <c r="J29" s="785">
        <v>41627</v>
      </c>
      <c r="K29" s="785">
        <v>40641</v>
      </c>
      <c r="L29" s="635" t="s">
        <v>888</v>
      </c>
      <c r="M29" s="635">
        <v>3045</v>
      </c>
      <c r="N29" s="635">
        <v>13702.5</v>
      </c>
      <c r="O29" s="635">
        <v>19575</v>
      </c>
      <c r="P29" s="635">
        <v>39150</v>
      </c>
      <c r="Q29" s="635">
        <v>0</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4201</v>
      </c>
      <c r="N30" s="593">
        <f>SUM(N28:N29)</f>
        <v>18904.5</v>
      </c>
      <c r="O30" s="593">
        <f>SUM(O28:O29)</f>
        <v>27006.428571428572</v>
      </c>
      <c r="P30" s="593">
        <f>SUM(P28:P29)</f>
        <v>54012.857142857145</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4201</v>
      </c>
      <c r="N33" s="598">
        <f>SUMIF($Z$28:$Z$29,"landbouw",N28:N29)</f>
        <v>18904.5</v>
      </c>
      <c r="O33" s="598">
        <f>SUMIF($Z$28:$Z$29,"landbouw",O28:O29)</f>
        <v>27006.428571428572</v>
      </c>
      <c r="P33" s="598">
        <f>SUMIF($Z$28:$Z$29,"landbouw",P28:P29)</f>
        <v>54012.857142857145</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22240.588235294119</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31772.268907563026</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2021-06-29T14:30:22Z</dcterms:modified>
</cp:coreProperties>
</file>