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Q11" i="14"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<sst xmlns="http://schemas.openxmlformats.org/spreadsheetml/2006/main" count="2448" uniqueCount="883">
  <si>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</si>
  <si>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</si>
  <si>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</si>
  <si>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</si>
  <si>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</si>
  <si>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</si>
  <si>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</si>
  <si>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</si>
  <si>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</si>
  <si>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</si>
  <si>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</si>
  <si>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</si>
  <si>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</si>
  <si>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</si>
  <si>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</si>
  <si>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</si>
  <si>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</si>
  <si>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</si>
  <si>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</si>
  <si>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</si>
  <si>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</si>
  <si>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</si>
  <si>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</si>
  <si>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</si>
  <si>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</si>
  <si>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</si>
  <si>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</si>
  <si>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</si>
  <si>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</si>
  <si>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</si>
  <si>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</si>
  <si>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</si>
  <si>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</si>
  <si>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</si>
  <si>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</si>
  <si>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</si>
  <si>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</si>
  <si>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</si>
  <si>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</si>
  <si>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</si>
  <si>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</si>
  <si>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</si>
  <si>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</si>
  <si>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</si>
  <si>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</si>
  <si>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</si>
  <si>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</si>
  <si>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</si>
  <si>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</si>
  <si>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</si>
  <si>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</si>
  <si>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</si>
  <si>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</si>
  <si>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</si>
  <si>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</si>
  <si>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</si>
  <si>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</si>
  <si>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</si>
  <si>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</si>
  <si>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</si>
  <si>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</si>
  <si>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</si>
  <si>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</si>
  <si>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</si>
  <si>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</si>
  <si>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</si>
  <si>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</si>
  <si>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</si>
  <si>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</si>
  <si>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</si>
  <si>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</si>
  <si>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</si>
  <si>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</si>
  <si>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</si>
  <si>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</si>
  <si>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</si>
  <si>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</si>
  <si>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</si>
  <si>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</si>
  <si>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</si>
  <si>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</si>
  <si>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</si>
  <si>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</si>
  <si>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</si>
  <si>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</si>
  <si>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</si>
  <si>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</si>
  <si>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</si>
  <si>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</si>
  <si>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</si>
  <si>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</si>
  <si>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</si>
  <si>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</si>
  <si>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</si>
  <si>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</si>
  <si>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</si>
  <si>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</si>
  <si>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</si>
  <si>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</si>
  <si>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</si>
  <si>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</si>
  <si>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</si>
  <si>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</si>
  <si>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</si>
  <si>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</si>
  <si>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</si>
  <si>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</si>
  <si>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</si>
  <si>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</si>
  <si>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</si>
  <si>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</si>
  <si>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</si>
  <si>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</si>
  <si>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</si>
  <si>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</si>
  <si>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</si>
  <si>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</si>
  <si>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</si>
  <si>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</si>
  <si>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</si>
  <si>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</si>
  <si>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</si>
  <si>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</si>
  <si>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</si>
  <si>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</si>
  <si>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</si>
  <si>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</si>
  <si>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</si>
  <si>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</si>
  <si>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</si>
  <si>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</si>
  <si>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</si>
  <si>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</si>
  <si>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</si>
  <si>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</si>
  <si>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</si>
  <si>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</si>
  <si>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</si>
  <si>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</si>
  <si>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</si>
  <si>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</si>
  <si>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</si>
  <si>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</si>
  <si>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</si>
  <si>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</si>
  <si>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</si>
  <si>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</si>
  <si>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</si>
  <si>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</si>
  <si>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</si>
  <si>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</si>
  <si>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</si>
  <si>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</si>
  <si>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</si>
  <si>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</si>
  <si>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</si>
  <si>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</si>
  <si>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</si>
  <si>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</si>
  <si>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</si>
  <si>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</si>
  <si>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</si>
  <si>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</si>
  <si>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</si>
  <si>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</si>
  <si>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</si>
  <si>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</si>
  <si>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</si>
  <si>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</si>
  <si>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</si>
  <si>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</si>
  <si>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</si>
  <si>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</si>
  <si>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</si>
  <si>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</si>
  <si>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</si>
  <si>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</si>
  <si>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</si>
  <si>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</si>
  <si>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</si>
  <si>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</si>
  <si>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</si>
  <si>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</si>
  <si>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</si>
  <si>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</si>
  <si>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</si>
  <si>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</si>
  <si>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</si>
  <si>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</si>
  <si>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</si>
  <si>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</si>
  <si>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</si>
  <si>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</si>
  <si>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</si>
  <si>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</si>
  <si>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</si>
  <si>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</si>
  <si>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</si>
  <si>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</si>
  <si>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</si>
  <si>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</si>
  <si>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</si>
  <si>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</si>
  <si>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</si>
  <si>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</si>
  <si>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</si>
  <si>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</si>
  <si>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</si>
  <si>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</si>
  <si>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</si>
  <si>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</si>
  <si>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</si>
  <si>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</si>
  <si>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</si>
  <si>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</si>
  <si>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</si>
  <si>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</si>
  <si>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</si>
  <si>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</si>
  <si>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</si>
  <si>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</si>
  <si>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</si>
  <si>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</si>
  <si>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</si>
  <si>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</si>
  <si>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</si>
  <si>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</si>
  <si>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</si>
  <si>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</si>
  <si>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</si>
  <si>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</si>
  <si>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</si>
  <si>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</si>
  <si>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</si>
  <si>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</si>
  <si>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</si>
  <si>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</si>
  <si>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</si>
  <si>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</si>
  <si>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</si>
  <si>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</si>
  <si>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</si>
  <si>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</si>
  <si>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</si>
  <si>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</si>
  <si>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</si>
  <si>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</si>
  <si>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</si>
  <si>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</si>
  <si>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</si>
  <si>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</si>
  <si>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</si>
  <si>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</si>
  <si>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</si>
  <si>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</si>
  <si>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</si>
  <si>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</si>
  <si>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</si>
  <si>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</si>
  <si>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</si>
  <si>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</si>
  <si>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</si>
  <si>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</si>
  <si>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</si>
  <si>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</si>
  <si>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</si>
  <si>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</si>
  <si>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</si>
  <si>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</si>
  <si>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</si>
  <si>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</si>
  <si>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</si>
  <si>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</si>
  <si>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</si>
  <si>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</si>
  <si>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</si>
  <si>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</si>
  <si>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</si>
  <si>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</si>
  <si>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</si>
  <si>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</si>
  <si>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</si>
  <si>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</si>
  <si>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</si>
  <si>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</si>
  <si>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</si>
  <si>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</si>
  <si>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</si>
  <si>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</si>
  <si>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</si>
  <si>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</si>
  <si>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</si>
  <si>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</si>
  <si>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</si>
  <si>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</si>
  <si>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</si>
  <si>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</si>
  <si>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</si>
  <si>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</si>
  <si>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</si>
  <si>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</si>
  <si>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</si>
  <si>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</si>
  <si>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</si>
  <si>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</si>
  <si>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</si>
  <si>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</si>
  <si>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</si>
  <si>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</si>
  <si>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</si>
  <si>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</si>
  <si>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</si>
  <si>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</si>
  <si>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</si>
  <si>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</si>
  <si>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</si>
  <si>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</si>
  <si>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</si>
  <si>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</si>
  <si>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</si>
  <si>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</si>
  <si>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</si>
  <si>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</si>
  <si>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</si>
  <si>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</si>
  <si>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</si>
  <si>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</si>
  <si>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</si>
  <si>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</si>
  <si>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</si>
  <si>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</si>
  <si>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</si>
  <si>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</si>
  <si>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</si>
  <si>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</si>
  <si>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</si>
  <si>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</si>
  <si>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</si>
  <si>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</si>
  <si>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</si>
  <si>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</si>
  <si>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</si>
  <si>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</si>
  <si>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</si>
  <si>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</si>
  <si>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</si>
  <si>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</si>
  <si>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</si>
  <si>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</si>
  <si>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</si>
  <si>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</si>
  <si>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</si>
  <si>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</si>
  <si>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</si>
  <si>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</si>
  <si>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</si>
  <si>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</si>
  <si>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</si>
  <si>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</si>
  <si>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</si>
  <si>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</si>
  <si>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</si>
  <si>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</si>
  <si>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</si>
  <si>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</si>
  <si>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</si>
  <si>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</si>
  <si>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</si>
  <si>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</si>
  <si>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</si>
  <si>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</si>
  <si>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</si>
  <si>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</si>
  <si>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</si>
  <si>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</si>
  <si>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</si>
  <si>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</si>
  <si>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</si>
  <si>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</si>
  <si>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</si>
  <si>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</si>
  <si>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</si>
  <si>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</si>
  <si>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</si>
  <si>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</si>
  <si>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</si>
  <si>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</si>
  <si>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</si>
  <si>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</si>
  <si>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</si>
  <si>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</si>
  <si>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</si>
  <si>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</si>
  <si>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</si>
  <si>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</si>
  <si>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</si>
  <si>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</si>
  <si>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</si>
  <si>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</si>
  <si>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</si>
  <si>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</si>
  <si>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</si>
  <si>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</si>
  <si>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</si>
  <si>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</si>
  <si>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</si>
  <si>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</si>
  <si>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</si>
  <si>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</si>
  <si>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</si>
  <si>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</si>
  <si>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</si>
  <si>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</si>
  <si>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</si>
  <si>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</si>
  <si>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</si>
  <si>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</si>
  <si>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</si>
  <si>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</si>
  <si>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</si>
  <si>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</si>
  <si>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</si>
  <si>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</si>
  <si>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</si>
  <si>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</si>
  <si>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</si>
  <si>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</si>
  <si>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</si>
  <si>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</si>
  <si>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</si>
  <si>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</si>
  <si>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</si>
  <si>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</si>
  <si>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</si>
  <si>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</si>
  <si>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</si>
  <si>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</si>
  <si>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</si>
  <si>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</si>
  <si>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</si>
  <si>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</si>
  <si>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</si>
  <si>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</si>
  <si>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</si>
  <si>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</si>
  <si>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</si>
  <si>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</si>
  <si>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</si>
  <si>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</si>
  <si>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</si>
  <si>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</si>
  <si>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</si>
  <si>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</si>
  <si>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</si>
  <si>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</si>
  <si>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</si>
  <si>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</si>
  <si>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</si>
  <si>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</si>
  <si>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</si>
  <si>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</si>
  <si>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</si>
  <si>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</si>
  <si>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</si>
  <si>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</si>
  <si>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</si>
  <si>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</si>
  <si>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</si>
  <si>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</si>
  <si>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</si>
  <si>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</si>
  <si>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</si>
  <si>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</si>
  <si>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</si>
  <si>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</si>
  <si>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</si>
  <si>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</si>
  <si>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</si>
  <si>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</si>
  <si>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</si>
  <si>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</si>
  <si>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</si>
  <si>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</si>
  <si>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</si>
  <si>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</si>
  <si>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</si>
  <si>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</si>
  <si>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</si>
  <si>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</si>
  <si>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</si>
  <si>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</si>
  <si>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</si>
  <si>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</si>
  <si>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</si>
  <si>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</si>
  <si>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</si>
  <si>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</si>
  <si>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</si>
  <si>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</si>
  <si>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</si>
  <si>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</si>
  <si>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</si>
  <si>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</si>
  <si>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</si>
  <si>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</si>
  <si>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</si>
  <si>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</si>
  <si>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</si>
  <si>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</si>
  <si>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</si>
  <si>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</si>
  <si>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</si>
  <si>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</si>
  <si>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</si>
  <si>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</si>
  <si>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</si>
  <si>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</si>
  <si>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</si>
  <si>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</si>
  <si>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</si>
  <si>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</si>
  <si>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</si>
  <si>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</si>
  <si>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</si>
  <si>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</si>
  <si>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</si>
  <si>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</si>
  <si>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</si>
  <si>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</si>
  <si>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</si>
  <si>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</si>
  <si>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</si>
  <si>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</si>
  <si>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</si>
  <si>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</si>
  <si>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</si>
  <si>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</si>
  <si>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</si>
  <si>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</si>
  <si>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</si>
  <si>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</si>
  <si>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</si>
  <si>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</si>
  <si>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</si>
  <si>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</si>
  <si>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</si>
  <si>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</si>
  <si>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</si>
  <si>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</si>
  <si>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</si>
  <si>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</si>
  <si>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</si>
  <si>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</si>
  <si>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</si>
  <si>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</si>
  <si>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</si>
  <si>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</si>
  <si>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</si>
  <si>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</si>
  <si>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</si>
  <si>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</si>
  <si>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</si>
  <si>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</si>
  <si>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</si>
  <si>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</si>
  <si>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</si>
  <si>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</si>
  <si>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</si>
  <si>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</si>
  <si>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</si>
  <si>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</si>
  <si>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</si>
  <si>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</si>
  <si>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</si>
  <si>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</si>
  <si>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</si>
  <si>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</si>
  <si>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</si>
  <si>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</si>
  <si>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</si>
  <si>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</si>
  <si>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</si>
  <si>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</si>
  <si>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</si>
  <si>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</si>
  <si>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</si>
  <si>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</si>
  <si>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</si>
  <si>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</si>
  <si>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</si>
  <si>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</si>
  <si>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</si>
  <si>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</si>
  <si>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</si>
  <si>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</si>
  <si>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</si>
  <si>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</si>
  <si>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</si>
  <si>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</si>
  <si>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</si>
  <si>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</si>
  <si>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</si>
  <si>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</si>
  <si>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</si>
  <si>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</si>
  <si>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</si>
  <si>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</si>
  <si>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</si>
  <si>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</si>
  <si>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</si>
  <si>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</si>
  <si>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</si>
  <si>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</si>
  <si>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</si>
  <si>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</si>
  <si>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</si>
  <si>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</si>
  <si>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</si>
  <si>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</si>
  <si>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</si>
  <si>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</si>
  <si>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</si>
  <si>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</si>
  <si>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</si>
  <si>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</si>
  <si>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</si>
  <si>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</si>
  <si>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</si>
  <si>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</si>
  <si>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</si>
  <si>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</si>
  <si>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</si>
  <si>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</si>
  <si>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</si>
  <si>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</si>
  <si>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</si>
  <si>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</si>
  <si>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</si>
  <si>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</si>
  <si>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</si>
  <si>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</si>
  <si>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</si>
  <si>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</si>
  <si>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</si>
  <si>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</si>
  <si>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</si>
  <si>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</si>
  <si>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</si>
  <si>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</si>
  <si>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</si>
  <si>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</si>
  <si>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</si>
  <si>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</si>
  <si>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</si>
  <si>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</si>
  <si>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</si>
  <si>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</si>
  <si>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</si>
  <si>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</si>
  <si>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</si>
  <si>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</si>
  <si>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</si>
  <si>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</si>
  <si>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</si>
  <si>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</si>
  <si>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</si>
  <si>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</si>
  <si>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</si>
  <si>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</si>
  <si>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</si>
  <si>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</si>
  <si>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</si>
  <si>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</si>
  <si>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</si>
  <si>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</si>
  <si>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</si>
  <si>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</si>
  <si>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</si>
  <si>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</si>
  <si>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</si>
  <si>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</si>
  <si>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</si>
  <si>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</si>
  <si>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</si>
  <si>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</si>
  <si>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</si>
  <si>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</si>
  <si>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</si>
  <si>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</si>
  <si>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</si>
  <si>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</si>
  <si>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</si>
  <si>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</si>
  <si>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</si>
  <si>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</si>
  <si>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</si>
  <si>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</si>
  <si>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</si>
  <si>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</si>
  <si>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</si>
  <si>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</si>
  <si>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</si>
  <si>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</si>
  <si>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</si>
  <si>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</si>
  <si>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</si>
  <si>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</si>
  <si>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</si>
  <si>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</si>
  <si>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</si>
  <si>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</si>
  <si>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</si>
  <si>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</si>
  <si>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</si>
  <si>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</si>
  <si>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</si>
  <si>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</si>
  <si>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</si>
  <si>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</si>
  <si>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</si>
  <si>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</si>
  <si>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</si>
  <si>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</si>
  <si>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</si>
  <si>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</si>
  <si>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</si>
  <si>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</si>
  <si>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</si>
  <si>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</si>
  <si>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</si>
  <si>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</si>
  <si>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</si>
  <si>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</si>
  <si>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</si>
  <si>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</si>
  <si>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</si>
  <si>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</si>
  <si>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</si>
  <si>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</si>
  <si>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</si>
  <si>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</si>
  <si>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</si>
  <si>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</si>
  <si>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</si>
  <si>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</si>
  <si>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</si>
  <si>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</si>
  <si>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</si>
  <si>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</si>
  <si>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</si>
  <si>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</si>
  <si>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</si>
  <si>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</si>
  <si>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</si>
  <si>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</si>
  <si>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</si>
  <si>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</si>
  <si>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</si>
  <si>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</si>
  <si>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</si>
  <si>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</si>
  <si>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</si>
  <si>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</si>
  <si>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</si>
  <si>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</si>
  <si>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</si>
  <si>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</si>
  <si>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</si>
  <si>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</si>
  <si>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</si>
  <si>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</si>
  <si>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</si>
  <si>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</si>
  <si>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</si>
  <si>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</si>
  <si>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</si>
  <si>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</si>
  <si>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</si>
  <si>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</si>
  <si>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</si>
  <si>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</si>
  <si>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</si>
  <si>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</si>
  <si>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</si>
  <si>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</si>
  <si>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</si>
  <si>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</si>
  <si>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</si>
  <si>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</si>
  <si>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</si>
  <si>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</si>
  <si>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</si>
  <si>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</si>
  <si>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</si>
  <si>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</si>
  <si>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</si>
  <si>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</si>
  <si>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</si>
  <si>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</si>
  <si>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</si>
  <si>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</si>
  <si>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</si>
  <si>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</si>
  <si>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</si>
  <si>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</si>
  <si>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</si>
  <si>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</si>
  <si>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</si>
  <si>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</si>
  <si>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</si>
  <si>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</si>
  <si>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</si>
  <si>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</si>
  <si>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</si>
  <si>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</si>
  <si>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</si>
  <si>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</si>
  <si>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</si>
  <si>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</si>
  <si>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</si>
  <si>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</si>
  <si>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</si>
  <si>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</si>
  <si>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</si>
  <si>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</si>
  <si>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</si>
  <si>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</si>
  <si>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</si>
  <si>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</si>
  <si>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</si>
  <si>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</si>
  <si>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</si>
  <si>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</si>
  <si>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</si>
  <si>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</si>
  <si>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</si>
  <si>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</si>
  <si>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</si>
  <si>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</si>
  <si>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</si>
  <si>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</si>
  <si>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</si>
  <si>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</si>
  <si>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</si>
  <si>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</si>
  <si>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</si>
  <si>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</si>
  <si>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</si>
  <si>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</si>
  <si>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</si>
  <si>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</si>
  <si>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</si>
  <si>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</si>
  <si>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</si>
  <si>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</si>
  <si>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</si>
  <si>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</si>
  <si>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</si>
  <si>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</si>
  <si>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</si>
  <si>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</si>
  <si>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</si>
  <si>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</si>
  <si>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</si>
  <si>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</si>
  <si>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</si>
  <si>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</si>
  <si>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</si>
  <si>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</si>
  <si>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</si>
  <si>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</si>
  <si>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</si>
  <si>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</si>
  <si>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</si>
  <si>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</si>
  <si>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</si>
  <si>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</si>
  <si>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</si>
  <si>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</si>
  <si>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31004</t>
  </si>
  <si>
    <t>BLANKENBERGE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</si>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</sst>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154767.46598152388</c:v>
                </c:pt>
                <c:pt idx="1">
                  <c:v>115029.97500623509</c:v>
                </c:pt>
                <c:pt idx="2">
                  <c:v>1655.03296651646</c:v>
                </c:pt>
                <c:pt idx="3">
                  <c:v>1719.4997905641339</c:v>
                </c:pt>
                <c:pt idx="4">
                  <c:v>4508.2047668408204</c:v>
                </c:pt>
                <c:pt idx="5">
                  <c:v>31596.557443234065</c:v>
                </c:pt>
                <c:pt idx="6">
                  <c:v>1134.4809363457096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154767.46598152388</c:v>
                </c:pt>
                <c:pt idx="1">
                  <c:v>115029.97500623509</c:v>
                </c:pt>
                <c:pt idx="2">
                  <c:v>1655.03296651646</c:v>
                </c:pt>
                <c:pt idx="3">
                  <c:v>1719.4997905641339</c:v>
                </c:pt>
                <c:pt idx="4">
                  <c:v>4508.2047668408204</c:v>
                </c:pt>
                <c:pt idx="5">
                  <c:v>31596.557443234065</c:v>
                </c:pt>
                <c:pt idx="6">
                  <c:v>1134.4809363457096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29933.80095750936</c:v>
                </c:pt>
                <c:pt idx="1">
                  <c:v>23580.866542654738</c:v>
                </c:pt>
                <c:pt idx="2">
                  <c:v>350.62153094027047</c:v>
                </c:pt>
                <c:pt idx="3">
                  <c:v>439.62140703665153</c:v>
                </c:pt>
                <c:pt idx="4">
                  <c:v>959.377230159124</c:v>
                </c:pt>
                <c:pt idx="5">
                  <c:v>7860.2542836322154</c:v>
                </c:pt>
                <c:pt idx="6">
                  <c:v>253.85306658712153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29933.80095750936</c:v>
                </c:pt>
                <c:pt idx="1">
                  <c:v>23580.866542654738</c:v>
                </c:pt>
                <c:pt idx="2">
                  <c:v>350.62153094027047</c:v>
                </c:pt>
                <c:pt idx="3">
                  <c:v>439.62140703665153</c:v>
                </c:pt>
                <c:pt idx="4">
                  <c:v>959.377230159124</c:v>
                </c:pt>
                <c:pt idx="5">
                  <c:v>7860.2542836322154</c:v>
                </c:pt>
                <c:pt idx="6">
                  <c:v>253.85306658712153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31004</v>
      </c>
      <c r="B6" s="386"/>
      <c r="C6" s="387"/>
    </row>
    <row r="7" spans="1:7" s="384" customFormat="1" ht="15.75" customHeight="1">
      <c r="A7" s="388" t="str">
        <f>txtMunicipality</f>
        <v>BLANKENBERGE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44904.858368254725</v>
      </c>
      <c r="D10" s="682">
        <f ca="1">tertiair!C16</f>
        <v>0</v>
      </c>
      <c r="E10" s="682">
        <f ca="1">tertiair!D16</f>
        <v>60691.52819546203</v>
      </c>
      <c r="F10" s="682">
        <f>tertiair!E16</f>
        <v>153.72415772966951</v>
      </c>
      <c r="G10" s="682">
        <f ca="1">tertiair!F16</f>
        <v>7953.9555297462102</v>
      </c>
      <c r="H10" s="682">
        <f>tertiair!G16</f>
        <v>0</v>
      </c>
      <c r="I10" s="682">
        <f>tertiair!H16</f>
        <v>0</v>
      </c>
      <c r="J10" s="682">
        <f>tertiair!I16</f>
        <v>0</v>
      </c>
      <c r="K10" s="682">
        <f>tertiair!J16</f>
        <v>7.8344449402883654E-2</v>
      </c>
      <c r="L10" s="682">
        <f>tertiair!K16</f>
        <v>0</v>
      </c>
      <c r="M10" s="682">
        <f ca="1">tertiair!L16</f>
        <v>0</v>
      </c>
      <c r="N10" s="682">
        <f>tertiair!M16</f>
        <v>0</v>
      </c>
      <c r="O10" s="682">
        <f ca="1">tertiair!N16</f>
        <v>2865.9905789648515</v>
      </c>
      <c r="P10" s="682">
        <f>tertiair!O16</f>
        <v>9.7945215316823084</v>
      </c>
      <c r="Q10" s="683">
        <f>tertiair!P16</f>
        <v>105.07827661299004</v>
      </c>
      <c r="R10" s="685">
        <f ca="1">SUM(C10:Q10)</f>
        <v>116685.00797275154</v>
      </c>
      <c r="S10" s="67"/>
    </row>
    <row r="11" spans="1:19" s="445" customFormat="1">
      <c r="A11" s="803" t="s">
        <v>220</v>
      </c>
      <c r="B11" s="808"/>
      <c r="C11" s="682">
        <f>huishoudens!B8</f>
        <v>35125.298753547257</v>
      </c>
      <c r="D11" s="682">
        <f>huishoudens!C8</f>
        <v>0</v>
      </c>
      <c r="E11" s="682">
        <f>huishoudens!D8</f>
        <v>89778.136926275969</v>
      </c>
      <c r="F11" s="682">
        <f>huishoudens!E8</f>
        <v>688.15203600789323</v>
      </c>
      <c r="G11" s="682">
        <f>huishoudens!F8</f>
        <v>15630.603184369535</v>
      </c>
      <c r="H11" s="682">
        <f>huishoudens!G8</f>
        <v>0</v>
      </c>
      <c r="I11" s="682">
        <f>huishoudens!H8</f>
        <v>0</v>
      </c>
      <c r="J11" s="682">
        <f>huishoudens!I8</f>
        <v>0</v>
      </c>
      <c r="K11" s="682">
        <f>huishoudens!J8</f>
        <v>78.197270545858473</v>
      </c>
      <c r="L11" s="682">
        <f>huishoudens!K8</f>
        <v>0</v>
      </c>
      <c r="M11" s="682">
        <f>huishoudens!L8</f>
        <v>0</v>
      </c>
      <c r="N11" s="682">
        <f>huishoudens!M8</f>
        <v>0</v>
      </c>
      <c r="O11" s="682">
        <f>huishoudens!N8</f>
        <v>13002.310518955021</v>
      </c>
      <c r="P11" s="682">
        <f>huishoudens!O8</f>
        <v>285.68998359173258</v>
      </c>
      <c r="Q11" s="683">
        <f>huishoudens!P8</f>
        <v>179.07730823064537</v>
      </c>
      <c r="R11" s="685">
        <f>SUM(C11:Q11)</f>
        <v>154767.46598152388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1728.855390345444</v>
      </c>
      <c r="D13" s="682">
        <f>industrie!C18</f>
        <v>0</v>
      </c>
      <c r="E13" s="682">
        <f>industrie!D18</f>
        <v>2028.6767246386521</v>
      </c>
      <c r="F13" s="682">
        <f>industrie!E18</f>
        <v>5.2134001910753671</v>
      </c>
      <c r="G13" s="682">
        <f>industrie!F18</f>
        <v>681.90548982229302</v>
      </c>
      <c r="H13" s="682">
        <f>industrie!G18</f>
        <v>0</v>
      </c>
      <c r="I13" s="682">
        <f>industrie!H18</f>
        <v>0</v>
      </c>
      <c r="J13" s="682">
        <f>industrie!I18</f>
        <v>0</v>
      </c>
      <c r="K13" s="682">
        <f>industrie!J18</f>
        <v>0.20166092890465803</v>
      </c>
      <c r="L13" s="682">
        <f>industrie!K18</f>
        <v>0</v>
      </c>
      <c r="M13" s="682">
        <f>industrie!L18</f>
        <v>0</v>
      </c>
      <c r="N13" s="682">
        <f>industrie!M18</f>
        <v>0</v>
      </c>
      <c r="O13" s="682">
        <f>industrie!N18</f>
        <v>63.352100914451071</v>
      </c>
      <c r="P13" s="682">
        <f>industrie!O18</f>
        <v>0</v>
      </c>
      <c r="Q13" s="683">
        <f>industrie!P18</f>
        <v>0</v>
      </c>
      <c r="R13" s="685">
        <f>SUM(C13:Q13)</f>
        <v>4508.2047668408204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81759.012512147427</v>
      </c>
      <c r="D16" s="718">
        <f t="shared" ref="D16:R16" ca="1" si="0">SUM(D9:D15)</f>
        <v>0</v>
      </c>
      <c r="E16" s="718">
        <f t="shared" ca="1" si="0"/>
        <v>152498.34184637663</v>
      </c>
      <c r="F16" s="718">
        <f t="shared" si="0"/>
        <v>847.08959392863812</v>
      </c>
      <c r="G16" s="718">
        <f t="shared" ca="1" si="0"/>
        <v>24266.464203938038</v>
      </c>
      <c r="H16" s="718">
        <f t="shared" si="0"/>
        <v>0</v>
      </c>
      <c r="I16" s="718">
        <f t="shared" si="0"/>
        <v>0</v>
      </c>
      <c r="J16" s="718">
        <f t="shared" si="0"/>
        <v>0</v>
      </c>
      <c r="K16" s="718">
        <f t="shared" si="0"/>
        <v>78.477275924166008</v>
      </c>
      <c r="L16" s="718">
        <f t="shared" si="0"/>
        <v>0</v>
      </c>
      <c r="M16" s="718">
        <f t="shared" ca="1" si="0"/>
        <v>0</v>
      </c>
      <c r="N16" s="718">
        <f t="shared" si="0"/>
        <v>0</v>
      </c>
      <c r="O16" s="718">
        <f t="shared" ca="1" si="0"/>
        <v>15931.653198834323</v>
      </c>
      <c r="P16" s="718">
        <f t="shared" si="0"/>
        <v>295.48450512341492</v>
      </c>
      <c r="Q16" s="718">
        <f t="shared" si="0"/>
        <v>284.15558484363544</v>
      </c>
      <c r="R16" s="718">
        <f t="shared" ca="1" si="0"/>
        <v>275960.67872111627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806.34768620620741</v>
      </c>
      <c r="D19" s="682">
        <f>transport!C54</f>
        <v>0</v>
      </c>
      <c r="E19" s="682">
        <f>transport!D54</f>
        <v>0</v>
      </c>
      <c r="F19" s="682">
        <f>transport!E54</f>
        <v>0</v>
      </c>
      <c r="G19" s="682">
        <f>transport!F54</f>
        <v>0</v>
      </c>
      <c r="H19" s="682">
        <f>transport!G54</f>
        <v>310.96234661963848</v>
      </c>
      <c r="I19" s="682">
        <f>transport!H54</f>
        <v>0</v>
      </c>
      <c r="J19" s="682">
        <f>transport!I54</f>
        <v>0</v>
      </c>
      <c r="K19" s="682">
        <f>transport!J54</f>
        <v>0</v>
      </c>
      <c r="L19" s="682">
        <f>transport!K54</f>
        <v>0</v>
      </c>
      <c r="M19" s="682">
        <f>transport!L54</f>
        <v>0</v>
      </c>
      <c r="N19" s="682">
        <f>transport!M54</f>
        <v>17.170903519863735</v>
      </c>
      <c r="O19" s="682">
        <f>transport!N54</f>
        <v>0</v>
      </c>
      <c r="P19" s="682">
        <f>transport!O54</f>
        <v>0</v>
      </c>
      <c r="Q19" s="683">
        <f>transport!P54</f>
        <v>0</v>
      </c>
      <c r="R19" s="685">
        <f>SUM(C19:Q19)</f>
        <v>1134.4809363457096</v>
      </c>
      <c r="S19" s="67"/>
    </row>
    <row r="20" spans="1:19" s="445" customFormat="1">
      <c r="A20" s="803" t="s">
        <v>302</v>
      </c>
      <c r="B20" s="808"/>
      <c r="C20" s="682">
        <f>transport!B14</f>
        <v>50.571331009430239</v>
      </c>
      <c r="D20" s="682">
        <f>transport!C14</f>
        <v>0</v>
      </c>
      <c r="E20" s="682">
        <f>transport!D14</f>
        <v>91.245941180717836</v>
      </c>
      <c r="F20" s="682">
        <f>transport!E14</f>
        <v>50.342157564654634</v>
      </c>
      <c r="G20" s="682">
        <f>transport!F14</f>
        <v>0</v>
      </c>
      <c r="H20" s="682">
        <f>transport!G14</f>
        <v>24114.373120181506</v>
      </c>
      <c r="I20" s="682">
        <f>transport!H14</f>
        <v>5546.7618020837172</v>
      </c>
      <c r="J20" s="682">
        <f>transport!I14</f>
        <v>0</v>
      </c>
      <c r="K20" s="682">
        <f>transport!J14</f>
        <v>0</v>
      </c>
      <c r="L20" s="682">
        <f>transport!K14</f>
        <v>0</v>
      </c>
      <c r="M20" s="682">
        <f>transport!L14</f>
        <v>0</v>
      </c>
      <c r="N20" s="682">
        <f>transport!M14</f>
        <v>1743.263091214038</v>
      </c>
      <c r="O20" s="682">
        <f>transport!N14</f>
        <v>0</v>
      </c>
      <c r="P20" s="682">
        <f>transport!O14</f>
        <v>0</v>
      </c>
      <c r="Q20" s="683">
        <f>transport!P14</f>
        <v>0</v>
      </c>
      <c r="R20" s="685">
        <f>SUM(C20:Q20)</f>
        <v>31596.557443234065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856.91901721563761</v>
      </c>
      <c r="D22" s="806">
        <f t="shared" ref="D22:R22" si="1">SUM(D18:D21)</f>
        <v>0</v>
      </c>
      <c r="E22" s="806">
        <f t="shared" si="1"/>
        <v>91.245941180717836</v>
      </c>
      <c r="F22" s="806">
        <f t="shared" si="1"/>
        <v>50.342157564654634</v>
      </c>
      <c r="G22" s="806">
        <f t="shared" si="1"/>
        <v>0</v>
      </c>
      <c r="H22" s="806">
        <f t="shared" si="1"/>
        <v>24425.335466801145</v>
      </c>
      <c r="I22" s="806">
        <f t="shared" si="1"/>
        <v>5546.7618020837172</v>
      </c>
      <c r="J22" s="806">
        <f t="shared" si="1"/>
        <v>0</v>
      </c>
      <c r="K22" s="806">
        <f t="shared" si="1"/>
        <v>0</v>
      </c>
      <c r="L22" s="806">
        <f t="shared" si="1"/>
        <v>0</v>
      </c>
      <c r="M22" s="806">
        <f t="shared" si="1"/>
        <v>0</v>
      </c>
      <c r="N22" s="806">
        <f t="shared" si="1"/>
        <v>1760.4339947339017</v>
      </c>
      <c r="O22" s="806">
        <f t="shared" si="1"/>
        <v>0</v>
      </c>
      <c r="P22" s="806">
        <f t="shared" si="1"/>
        <v>0</v>
      </c>
      <c r="Q22" s="806">
        <f t="shared" si="1"/>
        <v>0</v>
      </c>
      <c r="R22" s="806">
        <f t="shared" si="1"/>
        <v>32731.038379579775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352.80227212207399</v>
      </c>
      <c r="D24" s="682">
        <f>+landbouw!C8</f>
        <v>0</v>
      </c>
      <c r="E24" s="682">
        <f>+landbouw!D8</f>
        <v>116.30120545711053</v>
      </c>
      <c r="F24" s="682">
        <f>+landbouw!E8</f>
        <v>13.157075872600899</v>
      </c>
      <c r="G24" s="682">
        <f>+landbouw!F8</f>
        <v>1144.6268989282501</v>
      </c>
      <c r="H24" s="682">
        <f>+landbouw!G8</f>
        <v>0</v>
      </c>
      <c r="I24" s="682">
        <f>+landbouw!H8</f>
        <v>0</v>
      </c>
      <c r="J24" s="682">
        <f>+landbouw!I8</f>
        <v>0</v>
      </c>
      <c r="K24" s="682">
        <f>+landbouw!J8</f>
        <v>92.612338184098405</v>
      </c>
      <c r="L24" s="682">
        <f>+landbouw!K8</f>
        <v>0</v>
      </c>
      <c r="M24" s="682">
        <f>+landbouw!L8</f>
        <v>0</v>
      </c>
      <c r="N24" s="682">
        <f>+landbouw!M8</f>
        <v>0</v>
      </c>
      <c r="O24" s="682">
        <f>+landbouw!N8</f>
        <v>0</v>
      </c>
      <c r="P24" s="682">
        <f>+landbouw!O8</f>
        <v>0</v>
      </c>
      <c r="Q24" s="683">
        <f>+landbouw!P8</f>
        <v>0</v>
      </c>
      <c r="R24" s="685">
        <f>SUM(C24:Q24)</f>
        <v>1719.4997905641339</v>
      </c>
      <c r="S24" s="67"/>
    </row>
    <row r="25" spans="1:19" s="445" customFormat="1" ht="15" thickBot="1">
      <c r="A25" s="825" t="s">
        <v>703</v>
      </c>
      <c r="B25" s="938"/>
      <c r="C25" s="939">
        <f>IF(Onbekend_ele_kWh="---",0,Onbekend_ele_kWh)/1000+IF(REST_rest_ele_kWh="---",0,REST_rest_ele_kWh)/1000</f>
        <v>4813.6072268416501</v>
      </c>
      <c r="D25" s="939"/>
      <c r="E25" s="939">
        <f>IF(onbekend_gas_kWh="---",0,onbekend_gas_kWh)/1000+IF(REST_rest_gas_kWh="---",0,REST_rest_gas_kWh)/1000</f>
        <v>8841.0167829280908</v>
      </c>
      <c r="F25" s="939"/>
      <c r="G25" s="939"/>
      <c r="H25" s="939"/>
      <c r="I25" s="939"/>
      <c r="J25" s="939"/>
      <c r="K25" s="939"/>
      <c r="L25" s="939"/>
      <c r="M25" s="939"/>
      <c r="N25" s="939"/>
      <c r="O25" s="939"/>
      <c r="P25" s="939"/>
      <c r="Q25" s="940"/>
      <c r="R25" s="685">
        <f>SUM(C25:Q25)</f>
        <v>13654.624009769741</v>
      </c>
      <c r="S25" s="67"/>
    </row>
    <row r="26" spans="1:19" s="445" customFormat="1" ht="15.75" thickBot="1">
      <c r="A26" s="690" t="s">
        <v>704</v>
      </c>
      <c r="B26" s="811"/>
      <c r="C26" s="806">
        <f>SUM(C24:C25)</f>
        <v>5166.4094989637242</v>
      </c>
      <c r="D26" s="806">
        <f t="shared" ref="D26:R26" si="2">SUM(D24:D25)</f>
        <v>0</v>
      </c>
      <c r="E26" s="806">
        <f t="shared" si="2"/>
        <v>8957.3179883852008</v>
      </c>
      <c r="F26" s="806">
        <f t="shared" si="2"/>
        <v>13.157075872600899</v>
      </c>
      <c r="G26" s="806">
        <f t="shared" si="2"/>
        <v>1144.6268989282501</v>
      </c>
      <c r="H26" s="806">
        <f t="shared" si="2"/>
        <v>0</v>
      </c>
      <c r="I26" s="806">
        <f t="shared" si="2"/>
        <v>0</v>
      </c>
      <c r="J26" s="806">
        <f t="shared" si="2"/>
        <v>0</v>
      </c>
      <c r="K26" s="806">
        <f t="shared" si="2"/>
        <v>92.612338184098405</v>
      </c>
      <c r="L26" s="806">
        <f t="shared" si="2"/>
        <v>0</v>
      </c>
      <c r="M26" s="806">
        <f t="shared" si="2"/>
        <v>0</v>
      </c>
      <c r="N26" s="806">
        <f t="shared" si="2"/>
        <v>0</v>
      </c>
      <c r="O26" s="806">
        <f t="shared" si="2"/>
        <v>0</v>
      </c>
      <c r="P26" s="806">
        <f t="shared" si="2"/>
        <v>0</v>
      </c>
      <c r="Q26" s="806">
        <f t="shared" si="2"/>
        <v>0</v>
      </c>
      <c r="R26" s="806">
        <f t="shared" si="2"/>
        <v>15374.123800333875</v>
      </c>
      <c r="S26" s="67"/>
    </row>
    <row r="27" spans="1:19" s="445" customFormat="1" ht="17.25" thickTop="1" thickBot="1">
      <c r="A27" s="691" t="s">
        <v>115</v>
      </c>
      <c r="B27" s="798"/>
      <c r="C27" s="692">
        <f ca="1">C22+C16+C26</f>
        <v>87782.341028326788</v>
      </c>
      <c r="D27" s="692">
        <f t="shared" ref="D27:R27" ca="1" si="3">D22+D16+D26</f>
        <v>0</v>
      </c>
      <c r="E27" s="692">
        <f t="shared" ca="1" si="3"/>
        <v>161546.90577594255</v>
      </c>
      <c r="F27" s="692">
        <f t="shared" si="3"/>
        <v>910.58882736589362</v>
      </c>
      <c r="G27" s="692">
        <f t="shared" ca="1" si="3"/>
        <v>25411.091102866289</v>
      </c>
      <c r="H27" s="692">
        <f t="shared" si="3"/>
        <v>24425.335466801145</v>
      </c>
      <c r="I27" s="692">
        <f t="shared" si="3"/>
        <v>5546.7618020837172</v>
      </c>
      <c r="J27" s="692">
        <f t="shared" si="3"/>
        <v>0</v>
      </c>
      <c r="K27" s="692">
        <f t="shared" si="3"/>
        <v>171.08961410826441</v>
      </c>
      <c r="L27" s="692">
        <f t="shared" si="3"/>
        <v>0</v>
      </c>
      <c r="M27" s="692">
        <f t="shared" ca="1" si="3"/>
        <v>0</v>
      </c>
      <c r="N27" s="692">
        <f t="shared" si="3"/>
        <v>1760.4339947339017</v>
      </c>
      <c r="O27" s="692">
        <f t="shared" ca="1" si="3"/>
        <v>15931.653198834323</v>
      </c>
      <c r="P27" s="692">
        <f t="shared" si="3"/>
        <v>295.48450512341492</v>
      </c>
      <c r="Q27" s="692">
        <f t="shared" si="3"/>
        <v>284.15558484363544</v>
      </c>
      <c r="R27" s="692">
        <f t="shared" ca="1" si="3"/>
        <v>324065.84090102994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9513.1701339297178</v>
      </c>
      <c r="D40" s="682">
        <f ca="1">tertiair!C20</f>
        <v>0</v>
      </c>
      <c r="E40" s="682">
        <f ca="1">tertiair!D20</f>
        <v>12259.68869548333</v>
      </c>
      <c r="F40" s="682">
        <f>tertiair!E20</f>
        <v>34.895383804634982</v>
      </c>
      <c r="G40" s="682">
        <f ca="1">tertiair!F20</f>
        <v>2123.7061264422382</v>
      </c>
      <c r="H40" s="682">
        <f>tertiair!G20</f>
        <v>0</v>
      </c>
      <c r="I40" s="682">
        <f>tertiair!H20</f>
        <v>0</v>
      </c>
      <c r="J40" s="682">
        <f>tertiair!I20</f>
        <v>0</v>
      </c>
      <c r="K40" s="682">
        <f>tertiair!J20</f>
        <v>2.7733935088620813E-2</v>
      </c>
      <c r="L40" s="682">
        <f>tertiair!K20</f>
        <v>0</v>
      </c>
      <c r="M40" s="682">
        <f ca="1">tertiair!L20</f>
        <v>0</v>
      </c>
      <c r="N40" s="682">
        <f>tertiair!M20</f>
        <v>0</v>
      </c>
      <c r="O40" s="682">
        <f ca="1">tertiair!N20</f>
        <v>0</v>
      </c>
      <c r="P40" s="682">
        <f>tertiair!O20</f>
        <v>0</v>
      </c>
      <c r="Q40" s="765">
        <f>tertiair!P20</f>
        <v>0</v>
      </c>
      <c r="R40" s="844">
        <f t="shared" ca="1" si="4"/>
        <v>23931.488073595006</v>
      </c>
    </row>
    <row r="41" spans="1:18">
      <c r="A41" s="816" t="s">
        <v>220</v>
      </c>
      <c r="B41" s="823"/>
      <c r="C41" s="682">
        <f ca="1">huishoudens!B12</f>
        <v>7441.3539022279228</v>
      </c>
      <c r="D41" s="682">
        <f ca="1">huishoudens!C12</f>
        <v>0</v>
      </c>
      <c r="E41" s="682">
        <f>huishoudens!D12</f>
        <v>18135.183659107748</v>
      </c>
      <c r="F41" s="682">
        <f>huishoudens!E12</f>
        <v>156.21051217379176</v>
      </c>
      <c r="G41" s="682">
        <f>huishoudens!F12</f>
        <v>4173.3710502266658</v>
      </c>
      <c r="H41" s="682">
        <f>huishoudens!G12</f>
        <v>0</v>
      </c>
      <c r="I41" s="682">
        <f>huishoudens!H12</f>
        <v>0</v>
      </c>
      <c r="J41" s="682">
        <f>huishoudens!I12</f>
        <v>0</v>
      </c>
      <c r="K41" s="682">
        <f>huishoudens!J12</f>
        <v>27.681833773233897</v>
      </c>
      <c r="L41" s="682">
        <f>huishoudens!K12</f>
        <v>0</v>
      </c>
      <c r="M41" s="682">
        <f>huishoudens!L12</f>
        <v>0</v>
      </c>
      <c r="N41" s="682">
        <f>huishoudens!M12</f>
        <v>0</v>
      </c>
      <c r="O41" s="682">
        <f>huishoudens!N12</f>
        <v>0</v>
      </c>
      <c r="P41" s="682">
        <f>huishoudens!O12</f>
        <v>0</v>
      </c>
      <c r="Q41" s="765">
        <f>huishoudens!P12</f>
        <v>0</v>
      </c>
      <c r="R41" s="844">
        <f t="shared" ca="1" si="4"/>
        <v>29933.80095750936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366.26093618735774</v>
      </c>
      <c r="D43" s="682">
        <f ca="1">industrie!C22</f>
        <v>0</v>
      </c>
      <c r="E43" s="682">
        <f>industrie!D22</f>
        <v>409.79269837700775</v>
      </c>
      <c r="F43" s="682">
        <f>industrie!E22</f>
        <v>1.1834418433741083</v>
      </c>
      <c r="G43" s="682">
        <f>industrie!F22</f>
        <v>182.06876578255225</v>
      </c>
      <c r="H43" s="682">
        <f>industrie!G22</f>
        <v>0</v>
      </c>
      <c r="I43" s="682">
        <f>industrie!H22</f>
        <v>0</v>
      </c>
      <c r="J43" s="682">
        <f>industrie!I22</f>
        <v>0</v>
      </c>
      <c r="K43" s="682">
        <f>industrie!J22</f>
        <v>7.1387968832248946E-2</v>
      </c>
      <c r="L43" s="682">
        <f>industrie!K22</f>
        <v>0</v>
      </c>
      <c r="M43" s="682">
        <f>industrie!L22</f>
        <v>0</v>
      </c>
      <c r="N43" s="682">
        <f>industrie!M22</f>
        <v>0</v>
      </c>
      <c r="O43" s="682">
        <f>industrie!N22</f>
        <v>0</v>
      </c>
      <c r="P43" s="682">
        <f>industrie!O22</f>
        <v>0</v>
      </c>
      <c r="Q43" s="765">
        <f>industrie!P22</f>
        <v>0</v>
      </c>
      <c r="R43" s="843">
        <f t="shared" ca="1" si="4"/>
        <v>959.377230159124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17320.784972344998</v>
      </c>
      <c r="D46" s="718">
        <f t="shared" ref="D46:Q46" ca="1" si="5">SUM(D39:D45)</f>
        <v>0</v>
      </c>
      <c r="E46" s="718">
        <f t="shared" ca="1" si="5"/>
        <v>30804.665052968085</v>
      </c>
      <c r="F46" s="718">
        <f t="shared" si="5"/>
        <v>192.28933782180084</v>
      </c>
      <c r="G46" s="718">
        <f t="shared" ca="1" si="5"/>
        <v>6479.145942451456</v>
      </c>
      <c r="H46" s="718">
        <f t="shared" si="5"/>
        <v>0</v>
      </c>
      <c r="I46" s="718">
        <f t="shared" si="5"/>
        <v>0</v>
      </c>
      <c r="J46" s="718">
        <f t="shared" si="5"/>
        <v>0</v>
      </c>
      <c r="K46" s="718">
        <f t="shared" si="5"/>
        <v>27.780955677154765</v>
      </c>
      <c r="L46" s="718">
        <f t="shared" si="5"/>
        <v>0</v>
      </c>
      <c r="M46" s="718">
        <f t="shared" ca="1" si="5"/>
        <v>0</v>
      </c>
      <c r="N46" s="718">
        <f t="shared" si="5"/>
        <v>0</v>
      </c>
      <c r="O46" s="718">
        <f t="shared" ca="1" si="5"/>
        <v>0</v>
      </c>
      <c r="P46" s="718">
        <f t="shared" si="5"/>
        <v>0</v>
      </c>
      <c r="Q46" s="718">
        <f t="shared" si="5"/>
        <v>0</v>
      </c>
      <c r="R46" s="718">
        <f ca="1">SUM(R39:R45)</f>
        <v>54824.66626126349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170.82612003967807</v>
      </c>
      <c r="D49" s="682">
        <f ca="1">transport!C58</f>
        <v>0</v>
      </c>
      <c r="E49" s="682">
        <f>transport!D58</f>
        <v>0</v>
      </c>
      <c r="F49" s="682">
        <f>transport!E58</f>
        <v>0</v>
      </c>
      <c r="G49" s="682">
        <f>transport!F58</f>
        <v>0</v>
      </c>
      <c r="H49" s="682">
        <f>transport!G58</f>
        <v>83.026946547443472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253.85306658712153</v>
      </c>
    </row>
    <row r="50" spans="1:18">
      <c r="A50" s="819" t="s">
        <v>302</v>
      </c>
      <c r="B50" s="829"/>
      <c r="C50" s="688">
        <f ca="1">transport!B18</f>
        <v>10.713621939226345</v>
      </c>
      <c r="D50" s="688">
        <f>transport!C18</f>
        <v>0</v>
      </c>
      <c r="E50" s="688">
        <f>transport!D18</f>
        <v>18.431680118505003</v>
      </c>
      <c r="F50" s="688">
        <f>transport!E18</f>
        <v>11.427669767176603</v>
      </c>
      <c r="G50" s="688">
        <f>transport!F18</f>
        <v>0</v>
      </c>
      <c r="H50" s="688">
        <f>transport!G18</f>
        <v>6438.5376230884622</v>
      </c>
      <c r="I50" s="688">
        <f>transport!H18</f>
        <v>1381.1436887188456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7860.2542836322154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181.53974197890443</v>
      </c>
      <c r="D52" s="718">
        <f t="shared" ref="D52:Q52" ca="1" si="6">SUM(D48:D51)</f>
        <v>0</v>
      </c>
      <c r="E52" s="718">
        <f t="shared" si="6"/>
        <v>18.431680118505003</v>
      </c>
      <c r="F52" s="718">
        <f t="shared" si="6"/>
        <v>11.427669767176603</v>
      </c>
      <c r="G52" s="718">
        <f t="shared" si="6"/>
        <v>0</v>
      </c>
      <c r="H52" s="718">
        <f t="shared" si="6"/>
        <v>6521.5645696359061</v>
      </c>
      <c r="I52" s="718">
        <f t="shared" si="6"/>
        <v>1381.1436887188456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8114.1073502193367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74.741757580221133</v>
      </c>
      <c r="D54" s="688">
        <f ca="1">+landbouw!C12</f>
        <v>0</v>
      </c>
      <c r="E54" s="688">
        <f>+landbouw!D12</f>
        <v>23.492843502336328</v>
      </c>
      <c r="F54" s="688">
        <f>+landbouw!E12</f>
        <v>2.9866562230804043</v>
      </c>
      <c r="G54" s="688">
        <f>+landbouw!F12</f>
        <v>305.6153820138428</v>
      </c>
      <c r="H54" s="688">
        <f>+landbouw!G12</f>
        <v>0</v>
      </c>
      <c r="I54" s="688">
        <f>+landbouw!H12</f>
        <v>0</v>
      </c>
      <c r="J54" s="688">
        <f>+landbouw!I12</f>
        <v>0</v>
      </c>
      <c r="K54" s="688">
        <f>+landbouw!J12</f>
        <v>32.784767717170837</v>
      </c>
      <c r="L54" s="688">
        <f>+landbouw!K12</f>
        <v>0</v>
      </c>
      <c r="M54" s="688">
        <f>+landbouw!L12</f>
        <v>0</v>
      </c>
      <c r="N54" s="688">
        <f>+landbouw!M12</f>
        <v>0</v>
      </c>
      <c r="O54" s="688">
        <f>+landbouw!N12</f>
        <v>0</v>
      </c>
      <c r="P54" s="688">
        <f>+landbouw!O12</f>
        <v>0</v>
      </c>
      <c r="Q54" s="689">
        <f>+landbouw!P12</f>
        <v>0</v>
      </c>
      <c r="R54" s="717">
        <f ca="1">SUM(C54:Q54)</f>
        <v>439.62140703665153</v>
      </c>
    </row>
    <row r="55" spans="1:18" ht="15" thickBot="1">
      <c r="A55" s="819" t="s">
        <v>703</v>
      </c>
      <c r="B55" s="829"/>
      <c r="C55" s="688">
        <f ca="1">C25*'EF ele_warmte'!B12</f>
        <v>1019.7708259387617</v>
      </c>
      <c r="D55" s="688"/>
      <c r="E55" s="688">
        <f>E25*EF_CO2_aardgas</f>
        <v>1785.8853901514744</v>
      </c>
      <c r="F55" s="688"/>
      <c r="G55" s="688"/>
      <c r="H55" s="688"/>
      <c r="I55" s="688"/>
      <c r="J55" s="688"/>
      <c r="K55" s="688"/>
      <c r="L55" s="688"/>
      <c r="M55" s="688"/>
      <c r="N55" s="688"/>
      <c r="O55" s="688"/>
      <c r="P55" s="688"/>
      <c r="Q55" s="689"/>
      <c r="R55" s="717">
        <f ca="1">SUM(C55:Q55)</f>
        <v>2805.6562160902363</v>
      </c>
    </row>
    <row r="56" spans="1:18" ht="15.75" thickBot="1">
      <c r="A56" s="817" t="s">
        <v>704</v>
      </c>
      <c r="B56" s="830"/>
      <c r="C56" s="718">
        <f ca="1">SUM(C54:C55)</f>
        <v>1094.5125835189829</v>
      </c>
      <c r="D56" s="718">
        <f t="shared" ref="D56:Q56" ca="1" si="7">SUM(D54:D55)</f>
        <v>0</v>
      </c>
      <c r="E56" s="718">
        <f t="shared" si="7"/>
        <v>1809.3782336538109</v>
      </c>
      <c r="F56" s="718">
        <f t="shared" si="7"/>
        <v>2.9866562230804043</v>
      </c>
      <c r="G56" s="718">
        <f t="shared" si="7"/>
        <v>305.6153820138428</v>
      </c>
      <c r="H56" s="718">
        <f t="shared" si="7"/>
        <v>0</v>
      </c>
      <c r="I56" s="718">
        <f t="shared" si="7"/>
        <v>0</v>
      </c>
      <c r="J56" s="718">
        <f t="shared" si="7"/>
        <v>0</v>
      </c>
      <c r="K56" s="718">
        <f t="shared" si="7"/>
        <v>32.784767717170837</v>
      </c>
      <c r="L56" s="718">
        <f t="shared" si="7"/>
        <v>0</v>
      </c>
      <c r="M56" s="718">
        <f t="shared" si="7"/>
        <v>0</v>
      </c>
      <c r="N56" s="718">
        <f t="shared" si="7"/>
        <v>0</v>
      </c>
      <c r="O56" s="718">
        <f t="shared" si="7"/>
        <v>0</v>
      </c>
      <c r="P56" s="718">
        <f t="shared" si="7"/>
        <v>0</v>
      </c>
      <c r="Q56" s="719">
        <f t="shared" si="7"/>
        <v>0</v>
      </c>
      <c r="R56" s="720">
        <f ca="1">SUM(R54:R55)</f>
        <v>3245.2776231268876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18596.837297842885</v>
      </c>
      <c r="D61" s="726">
        <f t="shared" ref="D61:Q61" ca="1" si="8">D46+D52+D56</f>
        <v>0</v>
      </c>
      <c r="E61" s="726">
        <f t="shared" ca="1" si="8"/>
        <v>32632.474966740399</v>
      </c>
      <c r="F61" s="726">
        <f t="shared" si="8"/>
        <v>206.70366381205787</v>
      </c>
      <c r="G61" s="726">
        <f t="shared" ca="1" si="8"/>
        <v>6784.7613244652985</v>
      </c>
      <c r="H61" s="726">
        <f t="shared" si="8"/>
        <v>6521.5645696359061</v>
      </c>
      <c r="I61" s="726">
        <f t="shared" si="8"/>
        <v>1381.1436887188456</v>
      </c>
      <c r="J61" s="726">
        <f t="shared" si="8"/>
        <v>0</v>
      </c>
      <c r="K61" s="726">
        <f t="shared" si="8"/>
        <v>60.565723394325602</v>
      </c>
      <c r="L61" s="726">
        <f t="shared" si="8"/>
        <v>0</v>
      </c>
      <c r="M61" s="726">
        <f t="shared" ca="1" si="8"/>
        <v>0</v>
      </c>
      <c r="N61" s="726">
        <f t="shared" si="8"/>
        <v>0</v>
      </c>
      <c r="O61" s="726">
        <f t="shared" ca="1" si="8"/>
        <v>0</v>
      </c>
      <c r="P61" s="726">
        <f t="shared" si="8"/>
        <v>0</v>
      </c>
      <c r="Q61" s="726">
        <f t="shared" si="8"/>
        <v>0</v>
      </c>
      <c r="R61" s="726">
        <f ca="1">R46+R52+R56</f>
        <v>66184.051234609724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0.21185168998673443</v>
      </c>
      <c r="D63" s="772">
        <f t="shared" ca="1" si="9"/>
        <v>0</v>
      </c>
      <c r="E63" s="964">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3633.7559702141889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3633.7559702141889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35125.298753547257</v>
      </c>
      <c r="C4" s="449">
        <f>huishoudens!C8</f>
        <v>0</v>
      </c>
      <c r="D4" s="449">
        <f>huishoudens!D8</f>
        <v>89778.136926275969</v>
      </c>
      <c r="E4" s="449">
        <f>huishoudens!E8</f>
        <v>688.15203600789323</v>
      </c>
      <c r="F4" s="449">
        <f>huishoudens!F8</f>
        <v>15630.603184369535</v>
      </c>
      <c r="G4" s="449">
        <f>huishoudens!G8</f>
        <v>0</v>
      </c>
      <c r="H4" s="449">
        <f>huishoudens!H8</f>
        <v>0</v>
      </c>
      <c r="I4" s="449">
        <f>huishoudens!I8</f>
        <v>0</v>
      </c>
      <c r="J4" s="449">
        <f>huishoudens!J8</f>
        <v>78.197270545858473</v>
      </c>
      <c r="K4" s="449">
        <f>huishoudens!K8</f>
        <v>0</v>
      </c>
      <c r="L4" s="449">
        <f>huishoudens!L8</f>
        <v>0</v>
      </c>
      <c r="M4" s="449">
        <f>huishoudens!M8</f>
        <v>0</v>
      </c>
      <c r="N4" s="449">
        <f>huishoudens!N8</f>
        <v>13002.310518955021</v>
      </c>
      <c r="O4" s="449">
        <f>huishoudens!O8</f>
        <v>285.68998359173258</v>
      </c>
      <c r="P4" s="450">
        <f>huishoudens!P8</f>
        <v>179.07730823064537</v>
      </c>
      <c r="Q4" s="451">
        <f>SUM(B4:P4)</f>
        <v>154767.46598152388</v>
      </c>
    </row>
    <row r="5" spans="1:17">
      <c r="A5" s="448" t="s">
        <v>155</v>
      </c>
      <c r="B5" s="449">
        <f ca="1">tertiair!B16</f>
        <v>43249.825401738264</v>
      </c>
      <c r="C5" s="449">
        <f ca="1">tertiair!C16</f>
        <v>0</v>
      </c>
      <c r="D5" s="449">
        <f ca="1">tertiair!D16</f>
        <v>60691.52819546203</v>
      </c>
      <c r="E5" s="449">
        <f>tertiair!E16</f>
        <v>153.72415772966951</v>
      </c>
      <c r="F5" s="449">
        <f ca="1">tertiair!F16</f>
        <v>7953.9555297462102</v>
      </c>
      <c r="G5" s="449">
        <f>tertiair!G16</f>
        <v>0</v>
      </c>
      <c r="H5" s="449">
        <f>tertiair!H16</f>
        <v>0</v>
      </c>
      <c r="I5" s="449">
        <f>tertiair!I16</f>
        <v>0</v>
      </c>
      <c r="J5" s="449">
        <f>tertiair!J16</f>
        <v>7.8344449402883654E-2</v>
      </c>
      <c r="K5" s="449">
        <f>tertiair!K16</f>
        <v>0</v>
      </c>
      <c r="L5" s="449">
        <f ca="1">tertiair!L16</f>
        <v>0</v>
      </c>
      <c r="M5" s="449">
        <f>tertiair!M16</f>
        <v>0</v>
      </c>
      <c r="N5" s="449">
        <f ca="1">tertiair!N16</f>
        <v>2865.9905789648515</v>
      </c>
      <c r="O5" s="449">
        <f>tertiair!O16</f>
        <v>9.7945215316823084</v>
      </c>
      <c r="P5" s="450">
        <f>tertiair!P16</f>
        <v>105.07827661299004</v>
      </c>
      <c r="Q5" s="448">
        <f t="shared" ref="Q5:Q14" ca="1" si="0">SUM(B5:P5)</f>
        <v>115029.97500623509</v>
      </c>
    </row>
    <row r="6" spans="1:17">
      <c r="A6" s="448" t="s">
        <v>193</v>
      </c>
      <c r="B6" s="449">
        <f>'openbare verlichting'!B8</f>
        <v>1655.03296651646</v>
      </c>
      <c r="C6" s="449"/>
      <c r="D6" s="449"/>
      <c r="E6" s="449"/>
      <c r="F6" s="449"/>
      <c r="G6" s="449"/>
      <c r="H6" s="449"/>
      <c r="I6" s="449"/>
      <c r="J6" s="449"/>
      <c r="K6" s="449"/>
      <c r="L6" s="449"/>
      <c r="M6" s="449"/>
      <c r="N6" s="449"/>
      <c r="O6" s="449"/>
      <c r="P6" s="450"/>
      <c r="Q6" s="448">
        <f t="shared" si="0"/>
        <v>1655.03296651646</v>
      </c>
    </row>
    <row r="7" spans="1:17">
      <c r="A7" s="448" t="s">
        <v>111</v>
      </c>
      <c r="B7" s="449">
        <f>landbouw!B8</f>
        <v>352.80227212207399</v>
      </c>
      <c r="C7" s="449">
        <f>landbouw!C8</f>
        <v>0</v>
      </c>
      <c r="D7" s="449">
        <f>landbouw!D8</f>
        <v>116.30120545711053</v>
      </c>
      <c r="E7" s="449">
        <f>landbouw!E8</f>
        <v>13.157075872600899</v>
      </c>
      <c r="F7" s="449">
        <f>landbouw!F8</f>
        <v>1144.6268989282501</v>
      </c>
      <c r="G7" s="449">
        <f>landbouw!G8</f>
        <v>0</v>
      </c>
      <c r="H7" s="449">
        <f>landbouw!H8</f>
        <v>0</v>
      </c>
      <c r="I7" s="449">
        <f>landbouw!I8</f>
        <v>0</v>
      </c>
      <c r="J7" s="449">
        <f>landbouw!J8</f>
        <v>92.612338184098405</v>
      </c>
      <c r="K7" s="449">
        <f>landbouw!K8</f>
        <v>0</v>
      </c>
      <c r="L7" s="449">
        <f>landbouw!L8</f>
        <v>0</v>
      </c>
      <c r="M7" s="449">
        <f>landbouw!M8</f>
        <v>0</v>
      </c>
      <c r="N7" s="449">
        <f>landbouw!N8</f>
        <v>0</v>
      </c>
      <c r="O7" s="449">
        <f>landbouw!O8</f>
        <v>0</v>
      </c>
      <c r="P7" s="450">
        <f>landbouw!P8</f>
        <v>0</v>
      </c>
      <c r="Q7" s="448">
        <f t="shared" si="0"/>
        <v>1719.4997905641339</v>
      </c>
    </row>
    <row r="8" spans="1:17">
      <c r="A8" s="448" t="s">
        <v>618</v>
      </c>
      <c r="B8" s="449">
        <f>industrie!B18</f>
        <v>1728.855390345444</v>
      </c>
      <c r="C8" s="449">
        <f>industrie!C18</f>
        <v>0</v>
      </c>
      <c r="D8" s="449">
        <f>industrie!D18</f>
        <v>2028.6767246386521</v>
      </c>
      <c r="E8" s="449">
        <f>industrie!E18</f>
        <v>5.2134001910753671</v>
      </c>
      <c r="F8" s="449">
        <f>industrie!F18</f>
        <v>681.90548982229302</v>
      </c>
      <c r="G8" s="449">
        <f>industrie!G18</f>
        <v>0</v>
      </c>
      <c r="H8" s="449">
        <f>industrie!H18</f>
        <v>0</v>
      </c>
      <c r="I8" s="449">
        <f>industrie!I18</f>
        <v>0</v>
      </c>
      <c r="J8" s="449">
        <f>industrie!J18</f>
        <v>0.20166092890465803</v>
      </c>
      <c r="K8" s="449">
        <f>industrie!K18</f>
        <v>0</v>
      </c>
      <c r="L8" s="449">
        <f>industrie!L18</f>
        <v>0</v>
      </c>
      <c r="M8" s="449">
        <f>industrie!M18</f>
        <v>0</v>
      </c>
      <c r="N8" s="449">
        <f>industrie!N18</f>
        <v>63.352100914451071</v>
      </c>
      <c r="O8" s="449">
        <f>industrie!O18</f>
        <v>0</v>
      </c>
      <c r="P8" s="450">
        <f>industrie!P18</f>
        <v>0</v>
      </c>
      <c r="Q8" s="448">
        <f t="shared" si="0"/>
        <v>4508.2047668408204</v>
      </c>
    </row>
    <row r="9" spans="1:17" s="454" customFormat="1">
      <c r="A9" s="452" t="s">
        <v>544</v>
      </c>
      <c r="B9" s="453">
        <f>transport!B14</f>
        <v>50.571331009430239</v>
      </c>
      <c r="C9" s="453">
        <f>transport!C14</f>
        <v>0</v>
      </c>
      <c r="D9" s="453">
        <f>transport!D14</f>
        <v>91.245941180717836</v>
      </c>
      <c r="E9" s="453">
        <f>transport!E14</f>
        <v>50.342157564654634</v>
      </c>
      <c r="F9" s="453">
        <f>transport!F14</f>
        <v>0</v>
      </c>
      <c r="G9" s="453">
        <f>transport!G14</f>
        <v>24114.373120181506</v>
      </c>
      <c r="H9" s="453">
        <f>transport!H14</f>
        <v>5546.7618020837172</v>
      </c>
      <c r="I9" s="453">
        <f>transport!I14</f>
        <v>0</v>
      </c>
      <c r="J9" s="453">
        <f>transport!J14</f>
        <v>0</v>
      </c>
      <c r="K9" s="453">
        <f>transport!K14</f>
        <v>0</v>
      </c>
      <c r="L9" s="453">
        <f>transport!L14</f>
        <v>0</v>
      </c>
      <c r="M9" s="453">
        <f>transport!M14</f>
        <v>1743.263091214038</v>
      </c>
      <c r="N9" s="453">
        <f>transport!N14</f>
        <v>0</v>
      </c>
      <c r="O9" s="453">
        <f>transport!O14</f>
        <v>0</v>
      </c>
      <c r="P9" s="453">
        <f>transport!P14</f>
        <v>0</v>
      </c>
      <c r="Q9" s="452">
        <f>SUM(B9:P9)</f>
        <v>31596.557443234065</v>
      </c>
    </row>
    <row r="10" spans="1:17">
      <c r="A10" s="448" t="s">
        <v>534</v>
      </c>
      <c r="B10" s="449">
        <f>transport!B54</f>
        <v>806.34768620620741</v>
      </c>
      <c r="C10" s="449">
        <f>transport!C54</f>
        <v>0</v>
      </c>
      <c r="D10" s="449">
        <f>transport!D54</f>
        <v>0</v>
      </c>
      <c r="E10" s="449">
        <f>transport!E54</f>
        <v>0</v>
      </c>
      <c r="F10" s="449">
        <f>transport!F54</f>
        <v>0</v>
      </c>
      <c r="G10" s="449">
        <f>transport!G54</f>
        <v>310.96234661963848</v>
      </c>
      <c r="H10" s="449">
        <f>transport!H54</f>
        <v>0</v>
      </c>
      <c r="I10" s="449">
        <f>transport!I54</f>
        <v>0</v>
      </c>
      <c r="J10" s="449">
        <f>transport!J54</f>
        <v>0</v>
      </c>
      <c r="K10" s="449">
        <f>transport!K54</f>
        <v>0</v>
      </c>
      <c r="L10" s="449">
        <f>transport!L54</f>
        <v>0</v>
      </c>
      <c r="M10" s="449">
        <f>transport!M54</f>
        <v>17.170903519863735</v>
      </c>
      <c r="N10" s="449">
        <f>transport!N54</f>
        <v>0</v>
      </c>
      <c r="O10" s="449">
        <f>transport!O54</f>
        <v>0</v>
      </c>
      <c r="P10" s="450">
        <f>transport!P54</f>
        <v>0</v>
      </c>
      <c r="Q10" s="448">
        <f t="shared" si="0"/>
        <v>1134.4809363457096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4813.6072268416501</v>
      </c>
      <c r="C14" s="456"/>
      <c r="D14" s="456">
        <f>'SEAP template'!E25</f>
        <v>8841.0167829280908</v>
      </c>
      <c r="E14" s="456"/>
      <c r="F14" s="456"/>
      <c r="G14" s="456"/>
      <c r="H14" s="456"/>
      <c r="I14" s="456"/>
      <c r="J14" s="456"/>
      <c r="K14" s="456"/>
      <c r="L14" s="456"/>
      <c r="M14" s="456"/>
      <c r="N14" s="456"/>
      <c r="O14" s="456"/>
      <c r="P14" s="457"/>
      <c r="Q14" s="448">
        <f t="shared" si="0"/>
        <v>13654.624009769741</v>
      </c>
    </row>
    <row r="15" spans="1:17" s="460" customFormat="1">
      <c r="A15" s="458" t="s">
        <v>538</v>
      </c>
      <c r="B15" s="459">
        <f ca="1">SUM(B4:B14)</f>
        <v>87782.341028326788</v>
      </c>
      <c r="C15" s="459">
        <f t="shared" ref="C15:Q15" ca="1" si="1">SUM(C4:C14)</f>
        <v>0</v>
      </c>
      <c r="D15" s="459">
        <f t="shared" ca="1" si="1"/>
        <v>161546.90577594252</v>
      </c>
      <c r="E15" s="459">
        <f t="shared" si="1"/>
        <v>910.58882736589362</v>
      </c>
      <c r="F15" s="459">
        <f t="shared" ca="1" si="1"/>
        <v>25411.091102866289</v>
      </c>
      <c r="G15" s="459">
        <f t="shared" si="1"/>
        <v>24425.335466801145</v>
      </c>
      <c r="H15" s="459">
        <f t="shared" si="1"/>
        <v>5546.7618020837172</v>
      </c>
      <c r="I15" s="459">
        <f t="shared" si="1"/>
        <v>0</v>
      </c>
      <c r="J15" s="459">
        <f t="shared" si="1"/>
        <v>171.08961410826441</v>
      </c>
      <c r="K15" s="459">
        <f t="shared" si="1"/>
        <v>0</v>
      </c>
      <c r="L15" s="459">
        <f t="shared" ca="1" si="1"/>
        <v>0</v>
      </c>
      <c r="M15" s="459">
        <f t="shared" si="1"/>
        <v>1760.4339947339017</v>
      </c>
      <c r="N15" s="459">
        <f t="shared" ca="1" si="1"/>
        <v>15931.653198834323</v>
      </c>
      <c r="O15" s="459">
        <f t="shared" si="1"/>
        <v>295.48450512341492</v>
      </c>
      <c r="P15" s="459">
        <f t="shared" si="1"/>
        <v>284.15558484363544</v>
      </c>
      <c r="Q15" s="459">
        <f t="shared" ca="1" si="1"/>
        <v>324065.84090102994</v>
      </c>
    </row>
    <row r="17" spans="1:17">
      <c r="A17" s="461" t="s">
        <v>539</v>
      </c>
      <c r="B17" s="777">
        <f ca="1">huishoudens!B10</f>
        <v>0.21185168998673443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7441.3539022279228</v>
      </c>
      <c r="C22" s="449">
        <f t="shared" ref="C22:C32" ca="1" si="3">C4*$C$17</f>
        <v>0</v>
      </c>
      <c r="D22" s="449">
        <f t="shared" ref="D22:D32" si="4">D4*$D$17</f>
        <v>18135.183659107748</v>
      </c>
      <c r="E22" s="449">
        <f t="shared" ref="E22:E32" si="5">E4*$E$17</f>
        <v>156.21051217379176</v>
      </c>
      <c r="F22" s="449">
        <f t="shared" ref="F22:F32" si="6">F4*$F$17</f>
        <v>4173.3710502266658</v>
      </c>
      <c r="G22" s="449">
        <f t="shared" ref="G22:G32" si="7">G4*$G$17</f>
        <v>0</v>
      </c>
      <c r="H22" s="449">
        <f t="shared" ref="H22:H32" si="8">H4*$H$17</f>
        <v>0</v>
      </c>
      <c r="I22" s="449">
        <f t="shared" ref="I22:I32" si="9">I4*$I$17</f>
        <v>0</v>
      </c>
      <c r="J22" s="449">
        <f t="shared" ref="J22:J32" si="10">J4*$J$17</f>
        <v>27.681833773233897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29933.80095750936</v>
      </c>
    </row>
    <row r="23" spans="1:17">
      <c r="A23" s="448" t="s">
        <v>155</v>
      </c>
      <c r="B23" s="449">
        <f t="shared" ca="1" si="2"/>
        <v>9162.5486029894473</v>
      </c>
      <c r="C23" s="449">
        <f t="shared" ca="1" si="3"/>
        <v>0</v>
      </c>
      <c r="D23" s="449">
        <f t="shared" ca="1" si="4"/>
        <v>12259.68869548333</v>
      </c>
      <c r="E23" s="449">
        <f t="shared" si="5"/>
        <v>34.895383804634982</v>
      </c>
      <c r="F23" s="449">
        <f t="shared" ca="1" si="6"/>
        <v>2123.7061264422382</v>
      </c>
      <c r="G23" s="449">
        <f t="shared" si="7"/>
        <v>0</v>
      </c>
      <c r="H23" s="449">
        <f t="shared" si="8"/>
        <v>0</v>
      </c>
      <c r="I23" s="449">
        <f t="shared" si="9"/>
        <v>0</v>
      </c>
      <c r="J23" s="449">
        <f t="shared" si="10"/>
        <v>2.7733935088620813E-2</v>
      </c>
      <c r="K23" s="449">
        <f t="shared" si="11"/>
        <v>0</v>
      </c>
      <c r="L23" s="449">
        <f t="shared" ca="1" si="12"/>
        <v>0</v>
      </c>
      <c r="M23" s="449">
        <f t="shared" si="13"/>
        <v>0</v>
      </c>
      <c r="N23" s="449">
        <f t="shared" ca="1" si="14"/>
        <v>0</v>
      </c>
      <c r="O23" s="449">
        <f t="shared" si="15"/>
        <v>0</v>
      </c>
      <c r="P23" s="450">
        <f t="shared" si="16"/>
        <v>0</v>
      </c>
      <c r="Q23" s="448">
        <f t="shared" ref="Q23:Q31" ca="1" si="17">SUM(B23:P23)</f>
        <v>23580.866542654738</v>
      </c>
    </row>
    <row r="24" spans="1:17">
      <c r="A24" s="448" t="s">
        <v>193</v>
      </c>
      <c r="B24" s="449">
        <f t="shared" ca="1" si="2"/>
        <v>350.62153094027047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350.62153094027047</v>
      </c>
    </row>
    <row r="25" spans="1:17">
      <c r="A25" s="448" t="s">
        <v>111</v>
      </c>
      <c r="B25" s="449">
        <f t="shared" ca="1" si="2"/>
        <v>74.741757580221133</v>
      </c>
      <c r="C25" s="449">
        <f t="shared" ca="1" si="3"/>
        <v>0</v>
      </c>
      <c r="D25" s="449">
        <f t="shared" si="4"/>
        <v>23.492843502336328</v>
      </c>
      <c r="E25" s="449">
        <f t="shared" si="5"/>
        <v>2.9866562230804043</v>
      </c>
      <c r="F25" s="449">
        <f t="shared" si="6"/>
        <v>305.6153820138428</v>
      </c>
      <c r="G25" s="449">
        <f t="shared" si="7"/>
        <v>0</v>
      </c>
      <c r="H25" s="449">
        <f t="shared" si="8"/>
        <v>0</v>
      </c>
      <c r="I25" s="449">
        <f t="shared" si="9"/>
        <v>0</v>
      </c>
      <c r="J25" s="449">
        <f t="shared" si="10"/>
        <v>32.784767717170837</v>
      </c>
      <c r="K25" s="449">
        <f t="shared" si="11"/>
        <v>0</v>
      </c>
      <c r="L25" s="449">
        <f t="shared" si="12"/>
        <v>0</v>
      </c>
      <c r="M25" s="449">
        <f t="shared" si="13"/>
        <v>0</v>
      </c>
      <c r="N25" s="449">
        <f t="shared" si="14"/>
        <v>0</v>
      </c>
      <c r="O25" s="449">
        <f t="shared" si="15"/>
        <v>0</v>
      </c>
      <c r="P25" s="450">
        <f t="shared" si="16"/>
        <v>0</v>
      </c>
      <c r="Q25" s="448">
        <f t="shared" ca="1" si="17"/>
        <v>439.62140703665153</v>
      </c>
    </row>
    <row r="26" spans="1:17">
      <c r="A26" s="448" t="s">
        <v>618</v>
      </c>
      <c r="B26" s="449">
        <f t="shared" ca="1" si="2"/>
        <v>366.26093618735774</v>
      </c>
      <c r="C26" s="449">
        <f t="shared" ca="1" si="3"/>
        <v>0</v>
      </c>
      <c r="D26" s="449">
        <f t="shared" si="4"/>
        <v>409.79269837700775</v>
      </c>
      <c r="E26" s="449">
        <f t="shared" si="5"/>
        <v>1.1834418433741083</v>
      </c>
      <c r="F26" s="449">
        <f t="shared" si="6"/>
        <v>182.06876578255225</v>
      </c>
      <c r="G26" s="449">
        <f t="shared" si="7"/>
        <v>0</v>
      </c>
      <c r="H26" s="449">
        <f t="shared" si="8"/>
        <v>0</v>
      </c>
      <c r="I26" s="449">
        <f t="shared" si="9"/>
        <v>0</v>
      </c>
      <c r="J26" s="449">
        <f t="shared" si="10"/>
        <v>7.1387968832248946E-2</v>
      </c>
      <c r="K26" s="449">
        <f t="shared" si="11"/>
        <v>0</v>
      </c>
      <c r="L26" s="449">
        <f t="shared" si="12"/>
        <v>0</v>
      </c>
      <c r="M26" s="449">
        <f t="shared" si="13"/>
        <v>0</v>
      </c>
      <c r="N26" s="449">
        <f t="shared" si="14"/>
        <v>0</v>
      </c>
      <c r="O26" s="449">
        <f t="shared" si="15"/>
        <v>0</v>
      </c>
      <c r="P26" s="450">
        <f t="shared" si="16"/>
        <v>0</v>
      </c>
      <c r="Q26" s="448">
        <f t="shared" ca="1" si="17"/>
        <v>959.377230159124</v>
      </c>
    </row>
    <row r="27" spans="1:17" s="454" customFormat="1">
      <c r="A27" s="452" t="s">
        <v>544</v>
      </c>
      <c r="B27" s="771">
        <f t="shared" ca="1" si="2"/>
        <v>10.713621939226345</v>
      </c>
      <c r="C27" s="453">
        <f t="shared" ca="1" si="3"/>
        <v>0</v>
      </c>
      <c r="D27" s="453">
        <f t="shared" si="4"/>
        <v>18.431680118505003</v>
      </c>
      <c r="E27" s="453">
        <f t="shared" si="5"/>
        <v>11.427669767176603</v>
      </c>
      <c r="F27" s="453">
        <f t="shared" si="6"/>
        <v>0</v>
      </c>
      <c r="G27" s="453">
        <f t="shared" si="7"/>
        <v>6438.5376230884622</v>
      </c>
      <c r="H27" s="453">
        <f t="shared" si="8"/>
        <v>1381.1436887188456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7860.2542836322154</v>
      </c>
    </row>
    <row r="28" spans="1:17" ht="16.5" customHeight="1">
      <c r="A28" s="448" t="s">
        <v>534</v>
      </c>
      <c r="B28" s="449">
        <f t="shared" ca="1" si="2"/>
        <v>170.82612003967807</v>
      </c>
      <c r="C28" s="449">
        <f t="shared" ca="1" si="3"/>
        <v>0</v>
      </c>
      <c r="D28" s="449">
        <f t="shared" si="4"/>
        <v>0</v>
      </c>
      <c r="E28" s="449">
        <f t="shared" si="5"/>
        <v>0</v>
      </c>
      <c r="F28" s="449">
        <f t="shared" si="6"/>
        <v>0</v>
      </c>
      <c r="G28" s="449">
        <f t="shared" si="7"/>
        <v>83.026946547443472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253.85306658712153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1019.7708259387617</v>
      </c>
      <c r="C32" s="449">
        <f t="shared" ca="1" si="3"/>
        <v>0</v>
      </c>
      <c r="D32" s="449">
        <f t="shared" si="4"/>
        <v>1785.8853901514744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2805.6562160902363</v>
      </c>
    </row>
    <row r="33" spans="1:17" s="460" customFormat="1">
      <c r="A33" s="458" t="s">
        <v>538</v>
      </c>
      <c r="B33" s="459">
        <f ca="1">SUM(B22:B32)</f>
        <v>18596.837297842885</v>
      </c>
      <c r="C33" s="459">
        <f t="shared" ref="C33:Q33" ca="1" si="19">SUM(C22:C32)</f>
        <v>0</v>
      </c>
      <c r="D33" s="459">
        <f t="shared" ca="1" si="19"/>
        <v>32632.474966740399</v>
      </c>
      <c r="E33" s="459">
        <f t="shared" si="19"/>
        <v>206.70366381205787</v>
      </c>
      <c r="F33" s="459">
        <f t="shared" ca="1" si="19"/>
        <v>6784.7613244652985</v>
      </c>
      <c r="G33" s="459">
        <f t="shared" si="19"/>
        <v>6521.5645696359061</v>
      </c>
      <c r="H33" s="459">
        <f t="shared" si="19"/>
        <v>1381.1436887188456</v>
      </c>
      <c r="I33" s="459">
        <f t="shared" si="19"/>
        <v>0</v>
      </c>
      <c r="J33" s="459">
        <f t="shared" si="19"/>
        <v>60.565723394325602</v>
      </c>
      <c r="K33" s="459">
        <f t="shared" si="19"/>
        <v>0</v>
      </c>
      <c r="L33" s="459">
        <f t="shared" ca="1" si="19"/>
        <v>0</v>
      </c>
      <c r="M33" s="459">
        <f t="shared" si="19"/>
        <v>0</v>
      </c>
      <c r="N33" s="459">
        <f t="shared" ca="1" si="19"/>
        <v>0</v>
      </c>
      <c r="O33" s="459">
        <f t="shared" si="19"/>
        <v>0</v>
      </c>
      <c r="P33" s="459">
        <f t="shared" si="19"/>
        <v>0</v>
      </c>
      <c r="Q33" s="459">
        <f t="shared" ca="1" si="19"/>
        <v>66184.051234609724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3633.7559702141889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3633.7559702141889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0.21185168998673443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0.21185168998673443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0.21185168998673443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0.21185168998673443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10570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1042.9000000000001</v>
      </c>
      <c r="C14" s="326"/>
      <c r="D14" s="326"/>
      <c r="E14" s="326"/>
      <c r="F14" s="326"/>
    </row>
    <row r="15" spans="1:6">
      <c r="A15" s="1307" t="s">
        <v>183</v>
      </c>
      <c r="B15" s="1308">
        <v>6</v>
      </c>
      <c r="C15" s="326"/>
      <c r="D15" s="326"/>
      <c r="E15" s="326"/>
      <c r="F15" s="326"/>
    </row>
    <row r="16" spans="1:6">
      <c r="A16" s="1307" t="s">
        <v>6</v>
      </c>
      <c r="B16" s="1308">
        <v>135</v>
      </c>
      <c r="C16" s="326"/>
      <c r="D16" s="326"/>
      <c r="E16" s="326"/>
      <c r="F16" s="326"/>
    </row>
    <row r="17" spans="1:6">
      <c r="A17" s="1307" t="s">
        <v>7</v>
      </c>
      <c r="B17" s="1308">
        <v>104</v>
      </c>
      <c r="C17" s="326"/>
      <c r="D17" s="326"/>
      <c r="E17" s="326"/>
      <c r="F17" s="326"/>
    </row>
    <row r="18" spans="1:6">
      <c r="A18" s="1307" t="s">
        <v>8</v>
      </c>
      <c r="B18" s="1308">
        <v>135</v>
      </c>
      <c r="C18" s="326"/>
      <c r="D18" s="326"/>
      <c r="E18" s="326"/>
      <c r="F18" s="326"/>
    </row>
    <row r="19" spans="1:6">
      <c r="A19" s="1307" t="s">
        <v>9</v>
      </c>
      <c r="B19" s="1308">
        <v>169</v>
      </c>
      <c r="C19" s="326"/>
      <c r="D19" s="326"/>
      <c r="E19" s="326"/>
      <c r="F19" s="326"/>
    </row>
    <row r="20" spans="1:6">
      <c r="A20" s="1307" t="s">
        <v>10</v>
      </c>
      <c r="B20" s="1308">
        <v>258</v>
      </c>
      <c r="C20" s="326"/>
      <c r="D20" s="326"/>
      <c r="E20" s="326"/>
      <c r="F20" s="326"/>
    </row>
    <row r="21" spans="1:6">
      <c r="A21" s="1307" t="s">
        <v>11</v>
      </c>
      <c r="B21" s="1308">
        <v>1239</v>
      </c>
      <c r="C21" s="326"/>
      <c r="D21" s="326"/>
      <c r="E21" s="326"/>
      <c r="F21" s="326"/>
    </row>
    <row r="22" spans="1:6">
      <c r="A22" s="1307" t="s">
        <v>12</v>
      </c>
      <c r="B22" s="1308">
        <v>4579</v>
      </c>
      <c r="C22" s="326"/>
      <c r="D22" s="326"/>
      <c r="E22" s="326"/>
      <c r="F22" s="326"/>
    </row>
    <row r="23" spans="1:6">
      <c r="A23" s="1307" t="s">
        <v>13</v>
      </c>
      <c r="B23" s="1308">
        <v>56</v>
      </c>
      <c r="C23" s="326"/>
      <c r="D23" s="326"/>
      <c r="E23" s="326"/>
      <c r="F23" s="326"/>
    </row>
    <row r="24" spans="1:6">
      <c r="A24" s="1307" t="s">
        <v>14</v>
      </c>
      <c r="B24" s="1308">
        <v>5</v>
      </c>
      <c r="C24" s="326"/>
      <c r="D24" s="326"/>
      <c r="E24" s="326"/>
      <c r="F24" s="326"/>
    </row>
    <row r="25" spans="1:6">
      <c r="A25" s="1307" t="s">
        <v>15</v>
      </c>
      <c r="B25" s="1308">
        <v>483</v>
      </c>
      <c r="C25" s="326"/>
      <c r="D25" s="326"/>
      <c r="E25" s="326"/>
      <c r="F25" s="326"/>
    </row>
    <row r="26" spans="1:6">
      <c r="A26" s="1307" t="s">
        <v>16</v>
      </c>
      <c r="B26" s="1308">
        <v>10</v>
      </c>
      <c r="C26" s="326"/>
      <c r="D26" s="326"/>
      <c r="E26" s="326"/>
      <c r="F26" s="326"/>
    </row>
    <row r="27" spans="1:6">
      <c r="A27" s="1307" t="s">
        <v>17</v>
      </c>
      <c r="B27" s="1308">
        <v>1</v>
      </c>
      <c r="C27" s="326"/>
      <c r="D27" s="326"/>
      <c r="E27" s="326"/>
      <c r="F27" s="326"/>
    </row>
    <row r="28" spans="1:6" s="43" customFormat="1">
      <c r="A28" s="1309" t="s">
        <v>18</v>
      </c>
      <c r="B28" s="1310">
        <v>1</v>
      </c>
      <c r="C28" s="332"/>
      <c r="D28" s="332"/>
      <c r="E28" s="332"/>
      <c r="F28" s="332"/>
    </row>
    <row r="29" spans="1:6">
      <c r="A29" s="1309" t="s">
        <v>688</v>
      </c>
      <c r="B29" s="1310">
        <v>76</v>
      </c>
      <c r="C29" s="332"/>
      <c r="D29" s="332"/>
      <c r="E29" s="332"/>
      <c r="F29" s="332"/>
    </row>
    <row r="30" spans="1:6">
      <c r="A30" s="1302" t="s">
        <v>689</v>
      </c>
      <c r="B30" s="1311">
        <v>12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12257.4526496744</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9942</v>
      </c>
      <c r="D39" s="1308">
        <v>99422078.545156106</v>
      </c>
      <c r="E39" s="1308">
        <v>13863</v>
      </c>
      <c r="F39" s="1308">
        <v>32343383.158520699</v>
      </c>
    </row>
    <row r="40" spans="1:6">
      <c r="A40" s="1307" t="s">
        <v>29</v>
      </c>
      <c r="B40" s="1307" t="s">
        <v>28</v>
      </c>
      <c r="C40" s="1308">
        <v>0</v>
      </c>
      <c r="D40" s="1308">
        <v>0</v>
      </c>
      <c r="E40" s="1308">
        <v>0</v>
      </c>
      <c r="F40" s="1308">
        <v>0</v>
      </c>
    </row>
    <row r="41" spans="1:6">
      <c r="A41" s="1307" t="s">
        <v>31</v>
      </c>
      <c r="B41" s="1307" t="s">
        <v>32</v>
      </c>
      <c r="C41" s="1308">
        <v>153</v>
      </c>
      <c r="D41" s="1308">
        <v>1410117.8243074899</v>
      </c>
      <c r="E41" s="1308">
        <v>289</v>
      </c>
      <c r="F41" s="1308">
        <v>1077903.28700354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122856.986363088</v>
      </c>
      <c r="E44" s="1308">
        <v>25</v>
      </c>
      <c r="F44" s="1308">
        <v>223997.07661479199</v>
      </c>
    </row>
    <row r="45" spans="1:6">
      <c r="A45" s="1307" t="s">
        <v>31</v>
      </c>
      <c r="B45" s="1307" t="s">
        <v>36</v>
      </c>
      <c r="C45" s="1308">
        <v>0</v>
      </c>
      <c r="D45" s="1308">
        <v>0</v>
      </c>
      <c r="E45" s="1308">
        <v>6</v>
      </c>
      <c r="F45" s="1308">
        <v>21623.173284794699</v>
      </c>
    </row>
    <row r="46" spans="1:6">
      <c r="A46" s="1307" t="s">
        <v>31</v>
      </c>
      <c r="B46" s="1307" t="s">
        <v>37</v>
      </c>
      <c r="C46" s="1308">
        <v>0</v>
      </c>
      <c r="D46" s="1308">
        <v>0</v>
      </c>
      <c r="E46" s="1308">
        <v>0</v>
      </c>
      <c r="F46" s="1308">
        <v>0</v>
      </c>
    </row>
    <row r="47" spans="1:6">
      <c r="A47" s="1307" t="s">
        <v>31</v>
      </c>
      <c r="B47" s="1307" t="s">
        <v>38</v>
      </c>
      <c r="C47" s="1308">
        <v>6</v>
      </c>
      <c r="D47" s="1308">
        <v>88981.932157037896</v>
      </c>
      <c r="E47" s="1308">
        <v>8</v>
      </c>
      <c r="F47" s="1308">
        <v>45834.434780899202</v>
      </c>
    </row>
    <row r="48" spans="1:6">
      <c r="A48" s="1307" t="s">
        <v>31</v>
      </c>
      <c r="B48" s="1307" t="s">
        <v>28</v>
      </c>
      <c r="C48" s="1308">
        <v>3</v>
      </c>
      <c r="D48" s="1308">
        <v>56223.350408519298</v>
      </c>
      <c r="E48" s="1308">
        <v>1</v>
      </c>
      <c r="F48" s="1308">
        <v>884.35145062399999</v>
      </c>
    </row>
    <row r="49" spans="1:6">
      <c r="A49" s="1307" t="s">
        <v>31</v>
      </c>
      <c r="B49" s="1307" t="s">
        <v>39</v>
      </c>
      <c r="C49" s="1308">
        <v>4</v>
      </c>
      <c r="D49" s="1308">
        <v>103960.441347106</v>
      </c>
      <c r="E49" s="1308">
        <v>5</v>
      </c>
      <c r="F49" s="1308">
        <v>8584.0882872618004</v>
      </c>
    </row>
    <row r="50" spans="1:6">
      <c r="A50" s="1307" t="s">
        <v>31</v>
      </c>
      <c r="B50" s="1307" t="s">
        <v>40</v>
      </c>
      <c r="C50" s="1308">
        <v>16</v>
      </c>
      <c r="D50" s="1308">
        <v>464456.05970098003</v>
      </c>
      <c r="E50" s="1308">
        <v>31</v>
      </c>
      <c r="F50" s="1308">
        <v>350028.97892353201</v>
      </c>
    </row>
    <row r="51" spans="1:6">
      <c r="A51" s="1307" t="s">
        <v>41</v>
      </c>
      <c r="B51" s="1307" t="s">
        <v>42</v>
      </c>
      <c r="C51" s="1308">
        <v>13</v>
      </c>
      <c r="D51" s="1308">
        <v>128794.247460809</v>
      </c>
      <c r="E51" s="1308">
        <v>37</v>
      </c>
      <c r="F51" s="1308">
        <v>352802.27212207398</v>
      </c>
    </row>
    <row r="52" spans="1:6">
      <c r="A52" s="1307" t="s">
        <v>41</v>
      </c>
      <c r="B52" s="1307" t="s">
        <v>28</v>
      </c>
      <c r="C52" s="1308">
        <v>0</v>
      </c>
      <c r="D52" s="1308">
        <v>0</v>
      </c>
      <c r="E52" s="1308">
        <v>0</v>
      </c>
      <c r="F52" s="1308">
        <v>0</v>
      </c>
    </row>
    <row r="53" spans="1:6">
      <c r="A53" s="1307" t="s">
        <v>43</v>
      </c>
      <c r="B53" s="1307" t="s">
        <v>44</v>
      </c>
      <c r="C53" s="1308">
        <v>1495</v>
      </c>
      <c r="D53" s="1308">
        <v>8841016.7829280905</v>
      </c>
      <c r="E53" s="1308">
        <v>3325</v>
      </c>
      <c r="F53" s="1308">
        <v>4813607.22684165</v>
      </c>
    </row>
    <row r="54" spans="1:6">
      <c r="A54" s="1307" t="s">
        <v>45</v>
      </c>
      <c r="B54" s="1307" t="s">
        <v>46</v>
      </c>
      <c r="C54" s="1308">
        <v>0</v>
      </c>
      <c r="D54" s="1308">
        <v>0</v>
      </c>
      <c r="E54" s="1308">
        <v>4</v>
      </c>
      <c r="F54" s="1308">
        <v>1655032.9665164601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125</v>
      </c>
      <c r="D57" s="1308">
        <v>9432379.5365585592</v>
      </c>
      <c r="E57" s="1308">
        <v>277</v>
      </c>
      <c r="F57" s="1308">
        <v>7932654.0227409601</v>
      </c>
    </row>
    <row r="58" spans="1:6">
      <c r="A58" s="1307" t="s">
        <v>48</v>
      </c>
      <c r="B58" s="1307" t="s">
        <v>50</v>
      </c>
      <c r="C58" s="1308">
        <v>63</v>
      </c>
      <c r="D58" s="1308">
        <v>4852318.8820287902</v>
      </c>
      <c r="E58" s="1308">
        <v>81</v>
      </c>
      <c r="F58" s="1308">
        <v>2876772.5578043498</v>
      </c>
    </row>
    <row r="59" spans="1:6">
      <c r="A59" s="1307" t="s">
        <v>48</v>
      </c>
      <c r="B59" s="1307" t="s">
        <v>51</v>
      </c>
      <c r="C59" s="1308">
        <v>261</v>
      </c>
      <c r="D59" s="1308">
        <v>11466766.619549099</v>
      </c>
      <c r="E59" s="1308">
        <v>471</v>
      </c>
      <c r="F59" s="1308">
        <v>10904291.5254361</v>
      </c>
    </row>
    <row r="60" spans="1:6">
      <c r="A60" s="1307" t="s">
        <v>48</v>
      </c>
      <c r="B60" s="1307" t="s">
        <v>52</v>
      </c>
      <c r="C60" s="1308">
        <v>279</v>
      </c>
      <c r="D60" s="1308">
        <v>18289536.2847225</v>
      </c>
      <c r="E60" s="1308">
        <v>421</v>
      </c>
      <c r="F60" s="1308">
        <v>13536736.3240868</v>
      </c>
    </row>
    <row r="61" spans="1:6">
      <c r="A61" s="1307" t="s">
        <v>48</v>
      </c>
      <c r="B61" s="1307" t="s">
        <v>53</v>
      </c>
      <c r="C61" s="1308">
        <v>401</v>
      </c>
      <c r="D61" s="1308">
        <v>21808863.118067201</v>
      </c>
      <c r="E61" s="1308">
        <v>1219</v>
      </c>
      <c r="F61" s="1308">
        <v>7440429.2656099796</v>
      </c>
    </row>
    <row r="62" spans="1:6">
      <c r="A62" s="1307" t="s">
        <v>48</v>
      </c>
      <c r="B62" s="1307" t="s">
        <v>54</v>
      </c>
      <c r="C62" s="1308">
        <v>9</v>
      </c>
      <c r="D62" s="1308">
        <v>1361130.2384337899</v>
      </c>
      <c r="E62" s="1308">
        <v>16</v>
      </c>
      <c r="F62" s="1308">
        <v>557464.706060078</v>
      </c>
    </row>
    <row r="63" spans="1:6">
      <c r="A63" s="1307" t="s">
        <v>48</v>
      </c>
      <c r="B63" s="1307" t="s">
        <v>28</v>
      </c>
      <c r="C63" s="1308">
        <v>0</v>
      </c>
      <c r="D63" s="1308">
        <v>0</v>
      </c>
      <c r="E63" s="1308">
        <v>1</v>
      </c>
      <c r="F63" s="1308">
        <v>1477</v>
      </c>
    </row>
    <row r="64" spans="1:6">
      <c r="A64" s="1307" t="s">
        <v>55</v>
      </c>
      <c r="B64" s="1307" t="s">
        <v>56</v>
      </c>
      <c r="C64" s="1308">
        <v>0</v>
      </c>
      <c r="D64" s="1308">
        <v>0</v>
      </c>
      <c r="E64" s="1308">
        <v>0</v>
      </c>
      <c r="F64" s="1308">
        <v>0</v>
      </c>
    </row>
    <row r="65" spans="1:6">
      <c r="A65" s="1307" t="s">
        <v>55</v>
      </c>
      <c r="B65" s="1307" t="s">
        <v>28</v>
      </c>
      <c r="C65" s="1308">
        <v>2</v>
      </c>
      <c r="D65" s="1308">
        <v>105650.096343987</v>
      </c>
      <c r="E65" s="1308">
        <v>0</v>
      </c>
      <c r="F65" s="1308">
        <v>0</v>
      </c>
    </row>
    <row r="66" spans="1:6">
      <c r="A66" s="1307" t="s">
        <v>55</v>
      </c>
      <c r="B66" s="1307" t="s">
        <v>57</v>
      </c>
      <c r="C66" s="1308">
        <v>0</v>
      </c>
      <c r="D66" s="1308">
        <v>0</v>
      </c>
      <c r="E66" s="1308">
        <v>19</v>
      </c>
      <c r="F66" s="1308">
        <v>345192.28905055497</v>
      </c>
    </row>
    <row r="67" spans="1:6">
      <c r="A67" s="1309" t="s">
        <v>55</v>
      </c>
      <c r="B67" s="1309" t="s">
        <v>58</v>
      </c>
      <c r="C67" s="1308">
        <v>0</v>
      </c>
      <c r="D67" s="1308">
        <v>0</v>
      </c>
      <c r="E67" s="1308">
        <v>0</v>
      </c>
      <c r="F67" s="1308">
        <v>0</v>
      </c>
    </row>
    <row r="68" spans="1:6">
      <c r="A68" s="1302" t="s">
        <v>55</v>
      </c>
      <c r="B68" s="1302" t="s">
        <v>59</v>
      </c>
      <c r="C68" s="1311">
        <v>11</v>
      </c>
      <c r="D68" s="1311">
        <v>211203.65422326999</v>
      </c>
      <c r="E68" s="1311">
        <v>26</v>
      </c>
      <c r="F68" s="1311">
        <v>1566267.2482038699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30859883</v>
      </c>
      <c r="E73" s="447"/>
      <c r="F73" s="326"/>
    </row>
    <row r="74" spans="1:6">
      <c r="A74" s="1307" t="s">
        <v>63</v>
      </c>
      <c r="B74" s="1307" t="s">
        <v>639</v>
      </c>
      <c r="C74" s="1321" t="s">
        <v>641</v>
      </c>
      <c r="D74" s="1322">
        <v>2735454.0115950131</v>
      </c>
      <c r="E74" s="447"/>
      <c r="F74" s="326"/>
    </row>
    <row r="75" spans="1:6">
      <c r="A75" s="1307" t="s">
        <v>64</v>
      </c>
      <c r="B75" s="1307" t="s">
        <v>638</v>
      </c>
      <c r="C75" s="1321" t="s">
        <v>642</v>
      </c>
      <c r="D75" s="1322">
        <v>4123826</v>
      </c>
      <c r="E75" s="447"/>
      <c r="F75" s="326"/>
    </row>
    <row r="76" spans="1:6">
      <c r="A76" s="1307" t="s">
        <v>64</v>
      </c>
      <c r="B76" s="1307" t="s">
        <v>639</v>
      </c>
      <c r="C76" s="1321" t="s">
        <v>643</v>
      </c>
      <c r="D76" s="1322">
        <v>560809.0115950132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92083.976809973596</v>
      </c>
      <c r="C83" s="447"/>
      <c r="D83" s="326"/>
      <c r="E83" s="326"/>
      <c r="F83" s="326"/>
    </row>
    <row r="84" spans="1:6">
      <c r="A84" s="1302" t="s">
        <v>330</v>
      </c>
      <c r="B84" s="1323">
        <v>227515.21729060099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2781.9155950265585</v>
      </c>
      <c r="C91" s="326"/>
      <c r="D91" s="326"/>
      <c r="E91" s="326"/>
      <c r="F91" s="326"/>
    </row>
    <row r="92" spans="1:6">
      <c r="A92" s="1302" t="s">
        <v>68</v>
      </c>
      <c r="B92" s="1303">
        <v>851.84037518763057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5834</v>
      </c>
      <c r="C97" s="326"/>
      <c r="D97" s="326"/>
      <c r="E97" s="326"/>
      <c r="F97" s="326"/>
    </row>
    <row r="98" spans="1:6">
      <c r="A98" s="1307" t="s">
        <v>71</v>
      </c>
      <c r="B98" s="1308">
        <v>2</v>
      </c>
      <c r="C98" s="326"/>
      <c r="D98" s="326"/>
      <c r="E98" s="326"/>
      <c r="F98" s="326"/>
    </row>
    <row r="99" spans="1:6">
      <c r="A99" s="1307" t="s">
        <v>72</v>
      </c>
      <c r="B99" s="1308">
        <v>23</v>
      </c>
      <c r="C99" s="326"/>
      <c r="D99" s="326"/>
      <c r="E99" s="326"/>
      <c r="F99" s="326"/>
    </row>
    <row r="100" spans="1:6">
      <c r="A100" s="1307" t="s">
        <v>73</v>
      </c>
      <c r="B100" s="1308">
        <v>1053</v>
      </c>
      <c r="C100" s="326"/>
      <c r="D100" s="326"/>
      <c r="E100" s="326"/>
      <c r="F100" s="326"/>
    </row>
    <row r="101" spans="1:6">
      <c r="A101" s="1307" t="s">
        <v>74</v>
      </c>
      <c r="B101" s="1308">
        <v>28</v>
      </c>
      <c r="C101" s="326"/>
      <c r="D101" s="326"/>
      <c r="E101" s="326"/>
      <c r="F101" s="326"/>
    </row>
    <row r="102" spans="1:6">
      <c r="A102" s="1307" t="s">
        <v>75</v>
      </c>
      <c r="B102" s="1308">
        <v>279</v>
      </c>
      <c r="C102" s="326"/>
      <c r="D102" s="326"/>
      <c r="E102" s="326"/>
      <c r="F102" s="326"/>
    </row>
    <row r="103" spans="1:6">
      <c r="A103" s="1307" t="s">
        <v>76</v>
      </c>
      <c r="B103" s="1308">
        <v>58</v>
      </c>
      <c r="C103" s="326"/>
      <c r="D103" s="326"/>
      <c r="E103" s="326"/>
      <c r="F103" s="326"/>
    </row>
    <row r="104" spans="1:6">
      <c r="A104" s="1307" t="s">
        <v>77</v>
      </c>
      <c r="B104" s="1308">
        <v>885</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27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116</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87782.341028326788</v>
      </c>
      <c r="C3" s="43" t="s">
        <v>169</v>
      </c>
      <c r="D3" s="43"/>
      <c r="E3" s="154"/>
      <c r="F3" s="43"/>
      <c r="G3" s="43"/>
      <c r="H3" s="43"/>
      <c r="I3" s="43"/>
      <c r="J3" s="43"/>
      <c r="K3" s="96"/>
    </row>
    <row r="4" spans="1:11">
      <c r="A4" s="354" t="s">
        <v>170</v>
      </c>
      <c r="B4" s="49">
        <f>IF(ISERROR('SEAP template'!B78+'SEAP template'!C78),0,'SEAP template'!B78+'SEAP template'!C78)</f>
        <v>3633.7559702141889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0.21185168998673443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1655.03296651646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1655.03296651646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0.21185168998673443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350.62153094027047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32343.383158520697</v>
      </c>
      <c r="C5" s="17">
        <f>IF(ISERROR('Eigen informatie GS &amp; warmtenet'!B59),0,'Eigen informatie GS &amp; warmtenet'!B59)</f>
        <v>0</v>
      </c>
      <c r="D5" s="30">
        <f>(SUM(HH_hh_gas_kWh,HH_rest_gas_kWh)/1000)*0.903</f>
        <v>89778.136926275969</v>
      </c>
      <c r="E5" s="17">
        <f>B32*B41</f>
        <v>688.15203600789323</v>
      </c>
      <c r="F5" s="17">
        <f>B36*B45</f>
        <v>15630.603184369535</v>
      </c>
      <c r="G5" s="18"/>
      <c r="H5" s="17"/>
      <c r="I5" s="17"/>
      <c r="J5" s="17">
        <f>B35*B44+C35*C44</f>
        <v>78.197270545858473</v>
      </c>
      <c r="K5" s="17"/>
      <c r="L5" s="17"/>
      <c r="M5" s="17"/>
      <c r="N5" s="17">
        <f>B34*B43+C34*C43</f>
        <v>13002.310518955021</v>
      </c>
      <c r="O5" s="17">
        <f>B52*B53*B54</f>
        <v>285.68998359173258</v>
      </c>
      <c r="P5" s="17">
        <f>B60*B61*B62/1000-B60*B61*B62/1000/B63</f>
        <v>179.07730823064537</v>
      </c>
    </row>
    <row r="6" spans="1:16">
      <c r="A6" s="16" t="s">
        <v>604</v>
      </c>
      <c r="B6" s="779">
        <f>kWh_PV_kleiner_dan_10kW</f>
        <v>2781.9155950265585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35125.298753547257</v>
      </c>
      <c r="C8" s="21">
        <f>C5</f>
        <v>0</v>
      </c>
      <c r="D8" s="21">
        <f>D5</f>
        <v>89778.136926275969</v>
      </c>
      <c r="E8" s="21">
        <f>E5</f>
        <v>688.15203600789323</v>
      </c>
      <c r="F8" s="21">
        <f>F5</f>
        <v>15630.603184369535</v>
      </c>
      <c r="G8" s="21"/>
      <c r="H8" s="21"/>
      <c r="I8" s="21"/>
      <c r="J8" s="21">
        <f>J5</f>
        <v>78.197270545858473</v>
      </c>
      <c r="K8" s="21"/>
      <c r="L8" s="21">
        <f>L5</f>
        <v>0</v>
      </c>
      <c r="M8" s="21">
        <f>M5</f>
        <v>0</v>
      </c>
      <c r="N8" s="21">
        <f>N5</f>
        <v>13002.310518955021</v>
      </c>
      <c r="O8" s="21">
        <f>O5</f>
        <v>285.68998359173258</v>
      </c>
      <c r="P8" s="21">
        <f>P5</f>
        <v>179.07730823064537</v>
      </c>
    </row>
    <row r="9" spans="1:16">
      <c r="B9" s="19"/>
      <c r="C9" s="19"/>
      <c r="D9" s="254"/>
      <c r="E9" s="19"/>
      <c r="F9" s="19"/>
      <c r="G9" s="19"/>
      <c r="H9" s="19"/>
      <c r="I9" s="19"/>
      <c r="J9" s="19"/>
      <c r="K9" s="19"/>
      <c r="L9" s="19"/>
      <c r="M9" s="19"/>
      <c r="N9" s="19"/>
      <c r="O9" s="19"/>
      <c r="P9" s="19"/>
    </row>
    <row r="10" spans="1:16">
      <c r="A10" s="24" t="s">
        <v>213</v>
      </c>
      <c r="B10" s="25">
        <f ca="1">'EF ele_warmte'!B12</f>
        <v>0.21185168998673443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7441.3539022279228</v>
      </c>
      <c r="C12" s="23">
        <f ca="1">C10*C8</f>
        <v>0</v>
      </c>
      <c r="D12" s="23">
        <f>D8*D10</f>
        <v>18135.183659107748</v>
      </c>
      <c r="E12" s="23">
        <f>E10*E8</f>
        <v>156.21051217379176</v>
      </c>
      <c r="F12" s="23">
        <f>F10*F8</f>
        <v>4173.3710502266658</v>
      </c>
      <c r="G12" s="23"/>
      <c r="H12" s="23"/>
      <c r="I12" s="23"/>
      <c r="J12" s="23">
        <f>J10*J8</f>
        <v>27.681833773233897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10570</v>
      </c>
      <c r="C26" s="36"/>
      <c r="D26" s="225"/>
    </row>
    <row r="27" spans="1:5" s="15" customFormat="1">
      <c r="A27" s="227" t="s">
        <v>817</v>
      </c>
      <c r="B27" s="37">
        <f>SUM(HH_hh_gas_aantal,HH_rest_gas_aantal)</f>
        <v>9942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9444.9</v>
      </c>
      <c r="C31" s="34" t="s">
        <v>110</v>
      </c>
      <c r="D31" s="171"/>
    </row>
    <row r="32" spans="1:5">
      <c r="A32" s="168" t="s">
        <v>72</v>
      </c>
      <c r="B32" s="33">
        <f>IF((B21*($B$26-($B$27-0.05*$B$27)-$B$60))&lt;0,0,B21*($B$26-($B$27-0.05*$B$27)-$B$60))</f>
        <v>17.055164926140861</v>
      </c>
      <c r="C32" s="34" t="s">
        <v>110</v>
      </c>
      <c r="D32" s="171"/>
    </row>
    <row r="33" spans="1:6">
      <c r="A33" s="168" t="s">
        <v>73</v>
      </c>
      <c r="B33" s="33">
        <f>IF((B22*($B$26-($B$27-0.05*$B$27)-$B$60))&lt;0,0,B22*($B$26-($B$27-0.05*$B$27)-$B$60))</f>
        <v>276.94210027564645</v>
      </c>
      <c r="C33" s="34" t="s">
        <v>110</v>
      </c>
      <c r="D33" s="171"/>
    </row>
    <row r="34" spans="1:6">
      <c r="A34" s="168" t="s">
        <v>74</v>
      </c>
      <c r="B34" s="33">
        <f>IF((B24*($B$26-($B$27-0.05*$B$27)-$B$60))&lt;0,0,B24*($B$26-($B$27-0.05*$B$27)-$B$60))</f>
        <v>53.047751581960625</v>
      </c>
      <c r="C34" s="33">
        <f>B26*C24</f>
        <v>2164.4601243923062</v>
      </c>
      <c r="D34" s="230"/>
    </row>
    <row r="35" spans="1:6">
      <c r="A35" s="168" t="s">
        <v>76</v>
      </c>
      <c r="B35" s="33">
        <f>IF((B19*($B$26-($B$27-0.05*$B$27)-$B$60))&lt;0,0,B19*($B$26-($B$27-0.05*$B$27)-$B$60))</f>
        <v>7.4138395327673106</v>
      </c>
      <c r="C35" s="33">
        <f>B35/2</f>
        <v>3.7069197663836553</v>
      </c>
      <c r="D35" s="230"/>
    </row>
    <row r="36" spans="1:6">
      <c r="A36" s="168" t="s">
        <v>77</v>
      </c>
      <c r="B36" s="33">
        <f>IF((B18*($B$26-($B$27-0.05*$B$27)-$B$60))&lt;0,0,B18*($B$26-($B$27-0.05*$B$27)-$B$60))</f>
        <v>753.64114368348487</v>
      </c>
      <c r="C36" s="34" t="s">
        <v>110</v>
      </c>
      <c r="D36" s="171"/>
    </row>
    <row r="37" spans="1:6">
      <c r="A37" s="168" t="s">
        <v>78</v>
      </c>
      <c r="B37" s="33">
        <f>B60</f>
        <v>17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43249.825401738264</v>
      </c>
      <c r="C5" s="17">
        <f>IF(ISERROR('Eigen informatie GS &amp; warmtenet'!B60),0,'Eigen informatie GS &amp; warmtenet'!B60)</f>
        <v>0</v>
      </c>
      <c r="D5" s="30">
        <f>SUM(D6:D12)</f>
        <v>60691.52819546203</v>
      </c>
      <c r="E5" s="17">
        <f>SUM(E6:E12)</f>
        <v>153.72415772966951</v>
      </c>
      <c r="F5" s="17">
        <f>SUM(F6:F12)</f>
        <v>7953.9555297462102</v>
      </c>
      <c r="G5" s="18"/>
      <c r="H5" s="17"/>
      <c r="I5" s="17"/>
      <c r="J5" s="17">
        <f>SUM(J6:J12)</f>
        <v>7.8344449402883654E-2</v>
      </c>
      <c r="K5" s="17"/>
      <c r="L5" s="17"/>
      <c r="M5" s="17"/>
      <c r="N5" s="17">
        <f>SUM(N6:N12)</f>
        <v>2865.9905789648515</v>
      </c>
      <c r="O5" s="17">
        <f>B38*B39*B40</f>
        <v>9.7945215316823084</v>
      </c>
      <c r="P5" s="17">
        <f>B46*B47*B48/1000-B46*B47*B48/1000/B49</f>
        <v>105.07827661299004</v>
      </c>
      <c r="R5" s="32"/>
    </row>
    <row r="6" spans="1:18">
      <c r="A6" s="32" t="s">
        <v>53</v>
      </c>
      <c r="B6" s="37">
        <f>B26</f>
        <v>7440.4292656099797</v>
      </c>
      <c r="C6" s="33"/>
      <c r="D6" s="37">
        <f>IF(ISERROR(TER_kantoor_gas_kWh/1000),0,TER_kantoor_gas_kWh/1000)*0.903</f>
        <v>19693.403395614685</v>
      </c>
      <c r="E6" s="33">
        <f>$C$26*'E Balans VL '!I12/100/3.6*1000000</f>
        <v>1.7825499958710402</v>
      </c>
      <c r="F6" s="33">
        <f>$C$26*('E Balans VL '!L12+'E Balans VL '!N12)/100/3.6*1000000</f>
        <v>705.56716824016553</v>
      </c>
      <c r="G6" s="34"/>
      <c r="H6" s="33"/>
      <c r="I6" s="33"/>
      <c r="J6" s="33">
        <f>$C$26*('E Balans VL '!D12+'E Balans VL '!E12)/100/3.6*1000000</f>
        <v>0</v>
      </c>
      <c r="K6" s="33"/>
      <c r="L6" s="33"/>
      <c r="M6" s="33"/>
      <c r="N6" s="33">
        <f>$C$26*'E Balans VL '!Y12/100/3.6*1000000</f>
        <v>3.7793532204297247</v>
      </c>
      <c r="O6" s="33"/>
      <c r="P6" s="33"/>
      <c r="R6" s="32"/>
    </row>
    <row r="7" spans="1:18">
      <c r="A7" s="32" t="s">
        <v>52</v>
      </c>
      <c r="B7" s="37">
        <f t="shared" ref="B7:B12" si="0">B27</f>
        <v>13536.7363240868</v>
      </c>
      <c r="C7" s="33"/>
      <c r="D7" s="37">
        <f>IF(ISERROR(TER_horeca_gas_kWh/1000),0,TER_horeca_gas_kWh/1000)*0.903</f>
        <v>16515.451265104417</v>
      </c>
      <c r="E7" s="33">
        <f>$C$27*'E Balans VL '!I9/100/3.6*1000000</f>
        <v>0</v>
      </c>
      <c r="F7" s="33">
        <f>$C$27*('E Balans VL '!L9+'E Balans VL '!N9)/100/3.6*1000000</f>
        <v>1109.9805579139058</v>
      </c>
      <c r="G7" s="34"/>
      <c r="H7" s="33"/>
      <c r="I7" s="33"/>
      <c r="J7" s="33">
        <f>$C$27*('E Balans VL '!D9+'E Balans VL '!E9)/100/3.6*1000000</f>
        <v>0</v>
      </c>
      <c r="K7" s="33"/>
      <c r="L7" s="33"/>
      <c r="M7" s="33"/>
      <c r="N7" s="33">
        <f>$C$27*'E Balans VL '!Y9/100/3.6*1000000</f>
        <v>4.1495535495143976</v>
      </c>
      <c r="O7" s="33"/>
      <c r="P7" s="33"/>
      <c r="R7" s="32"/>
    </row>
    <row r="8" spans="1:18">
      <c r="A8" s="6" t="s">
        <v>51</v>
      </c>
      <c r="B8" s="37">
        <f t="shared" si="0"/>
        <v>10904.2915254361</v>
      </c>
      <c r="C8" s="33"/>
      <c r="D8" s="37">
        <f>IF(ISERROR(TER_handel_gas_kWh/1000),0,TER_handel_gas_kWh/1000)*0.903</f>
        <v>10354.490257452837</v>
      </c>
      <c r="E8" s="33">
        <f>$C$28*'E Balans VL '!I13/100/3.6*1000000</f>
        <v>38.322624937545804</v>
      </c>
      <c r="F8" s="33">
        <f>$C$28*('E Balans VL '!L13+'E Balans VL '!N13)/100/3.6*1000000</f>
        <v>997.72309229736663</v>
      </c>
      <c r="G8" s="34"/>
      <c r="H8" s="33"/>
      <c r="I8" s="33"/>
      <c r="J8" s="33">
        <f>$C$28*('E Balans VL '!D13+'E Balans VL '!E13)/100/3.6*1000000</f>
        <v>0</v>
      </c>
      <c r="K8" s="33"/>
      <c r="L8" s="33"/>
      <c r="M8" s="33"/>
      <c r="N8" s="33">
        <f>$C$28*'E Balans VL '!Y13/100/3.6*1000000</f>
        <v>3.9490649431938913</v>
      </c>
      <c r="O8" s="33"/>
      <c r="P8" s="33"/>
      <c r="R8" s="32"/>
    </row>
    <row r="9" spans="1:18">
      <c r="A9" s="32" t="s">
        <v>50</v>
      </c>
      <c r="B9" s="37">
        <f t="shared" si="0"/>
        <v>2876.7725578043496</v>
      </c>
      <c r="C9" s="33"/>
      <c r="D9" s="37">
        <f>IF(ISERROR(TER_gezond_gas_kWh/1000),0,TER_gezond_gas_kWh/1000)*0.903</f>
        <v>4381.6439504719983</v>
      </c>
      <c r="E9" s="33">
        <f>$C$29*'E Balans VL '!I10/100/3.6*1000000</f>
        <v>0</v>
      </c>
      <c r="F9" s="33">
        <f>$C$29*('E Balans VL '!L10+'E Balans VL '!N10)/100/3.6*1000000</f>
        <v>352.63948956112176</v>
      </c>
      <c r="G9" s="34"/>
      <c r="H9" s="33"/>
      <c r="I9" s="33"/>
      <c r="J9" s="33">
        <f>$C$29*('E Balans VL '!D10+'E Balans VL '!E10)/100/3.6*1000000</f>
        <v>0</v>
      </c>
      <c r="K9" s="33"/>
      <c r="L9" s="33"/>
      <c r="M9" s="33"/>
      <c r="N9" s="33">
        <f>$C$29*'E Balans VL '!Y10/100/3.6*1000000</f>
        <v>21.214192920940039</v>
      </c>
      <c r="O9" s="33"/>
      <c r="P9" s="33"/>
      <c r="R9" s="32"/>
    </row>
    <row r="10" spans="1:18">
      <c r="A10" s="32" t="s">
        <v>49</v>
      </c>
      <c r="B10" s="37">
        <f t="shared" si="0"/>
        <v>7932.6540227409605</v>
      </c>
      <c r="C10" s="33"/>
      <c r="D10" s="37">
        <f>IF(ISERROR(TER_ander_gas_kWh/1000),0,TER_ander_gas_kWh/1000)*0.903</f>
        <v>8517.4387215123788</v>
      </c>
      <c r="E10" s="33">
        <f>$C$30*'E Balans VL '!I14/100/3.6*1000000</f>
        <v>113.61311521946558</v>
      </c>
      <c r="F10" s="33">
        <f>$C$30*('E Balans VL '!L14+'E Balans VL '!N14)/100/3.6*1000000</f>
        <v>4722.5786632304398</v>
      </c>
      <c r="G10" s="34"/>
      <c r="H10" s="33"/>
      <c r="I10" s="33"/>
      <c r="J10" s="33">
        <f>$C$30*('E Balans VL '!D14+'E Balans VL '!E14)/100/3.6*1000000</f>
        <v>7.8341464100526642E-2</v>
      </c>
      <c r="K10" s="33"/>
      <c r="L10" s="33"/>
      <c r="M10" s="33"/>
      <c r="N10" s="33">
        <f>$C$30*'E Balans VL '!Y14/100/3.6*1000000</f>
        <v>2831.2193147705761</v>
      </c>
      <c r="O10" s="33"/>
      <c r="P10" s="33"/>
      <c r="R10" s="32"/>
    </row>
    <row r="11" spans="1:18">
      <c r="A11" s="32" t="s">
        <v>54</v>
      </c>
      <c r="B11" s="37">
        <f t="shared" si="0"/>
        <v>557.46470606007802</v>
      </c>
      <c r="C11" s="33"/>
      <c r="D11" s="37">
        <f>IF(ISERROR(TER_onderwijs_gas_kWh/1000),0,TER_onderwijs_gas_kWh/1000)*0.903</f>
        <v>1229.1006053057122</v>
      </c>
      <c r="E11" s="33">
        <f>$C$31*'E Balans VL '!I11/100/3.6*1000000</f>
        <v>0</v>
      </c>
      <c r="F11" s="33">
        <f>$C$31*('E Balans VL '!L11+'E Balans VL '!N11)/100/3.6*1000000</f>
        <v>65.174262658257831</v>
      </c>
      <c r="G11" s="34"/>
      <c r="H11" s="33"/>
      <c r="I11" s="33"/>
      <c r="J11" s="33">
        <f>$C$31*('E Balans VL '!D11+'E Balans VL '!E11)/100/3.6*1000000</f>
        <v>0</v>
      </c>
      <c r="K11" s="33"/>
      <c r="L11" s="33"/>
      <c r="M11" s="33"/>
      <c r="N11" s="33">
        <f>$C$31*'E Balans VL '!Y11/100/3.6*1000000</f>
        <v>1.5697565979143868</v>
      </c>
      <c r="O11" s="33"/>
      <c r="P11" s="33"/>
      <c r="R11" s="32"/>
    </row>
    <row r="12" spans="1:18">
      <c r="A12" s="32" t="s">
        <v>255</v>
      </c>
      <c r="B12" s="37">
        <f t="shared" si="0"/>
        <v>1.4770000000000001</v>
      </c>
      <c r="C12" s="33"/>
      <c r="D12" s="37">
        <f>IF(ISERROR(TER_rest_gas_kWh/1000),0,TER_rest_gas_kWh/1000)*0.903</f>
        <v>0</v>
      </c>
      <c r="E12" s="33">
        <f>$C$32*'E Balans VL '!I8/100/3.6*1000000</f>
        <v>5.8675767870595133E-3</v>
      </c>
      <c r="F12" s="33">
        <f>$C$32*('E Balans VL '!L8+'E Balans VL '!N8)/100/3.6*1000000</f>
        <v>0.29229584495292438</v>
      </c>
      <c r="G12" s="34"/>
      <c r="H12" s="33"/>
      <c r="I12" s="33"/>
      <c r="J12" s="33">
        <f>$C$32*('E Balans VL '!D8+'E Balans VL '!E8)/100/3.6*1000000</f>
        <v>2.9853023570102652E-6</v>
      </c>
      <c r="K12" s="33"/>
      <c r="L12" s="33"/>
      <c r="M12" s="33"/>
      <c r="N12" s="33">
        <f>$C$32*'E Balans VL '!Y8/100/3.6*1000000</f>
        <v>0.10934296228309855</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43249.825401738264</v>
      </c>
      <c r="C16" s="21">
        <f t="shared" ca="1" si="1"/>
        <v>0</v>
      </c>
      <c r="D16" s="21">
        <f t="shared" ca="1" si="1"/>
        <v>60691.52819546203</v>
      </c>
      <c r="E16" s="21">
        <f t="shared" si="1"/>
        <v>153.72415772966951</v>
      </c>
      <c r="F16" s="21">
        <f t="shared" ca="1" si="1"/>
        <v>7953.9555297462102</v>
      </c>
      <c r="G16" s="21">
        <f t="shared" si="1"/>
        <v>0</v>
      </c>
      <c r="H16" s="21">
        <f t="shared" si="1"/>
        <v>0</v>
      </c>
      <c r="I16" s="21">
        <f t="shared" si="1"/>
        <v>0</v>
      </c>
      <c r="J16" s="21">
        <f t="shared" si="1"/>
        <v>7.8344449402883654E-2</v>
      </c>
      <c r="K16" s="21">
        <f t="shared" si="1"/>
        <v>0</v>
      </c>
      <c r="L16" s="21">
        <f t="shared" ca="1" si="1"/>
        <v>0</v>
      </c>
      <c r="M16" s="21">
        <f t="shared" si="1"/>
        <v>0</v>
      </c>
      <c r="N16" s="21">
        <f t="shared" ca="1" si="1"/>
        <v>2865.9905789648515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0.21185168998673443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9162.5486029894473</v>
      </c>
      <c r="C20" s="23">
        <f t="shared" ref="C20:P20" ca="1" si="2">C16*C18</f>
        <v>0</v>
      </c>
      <c r="D20" s="23">
        <f t="shared" ca="1" si="2"/>
        <v>12259.68869548333</v>
      </c>
      <c r="E20" s="23">
        <f t="shared" si="2"/>
        <v>34.895383804634982</v>
      </c>
      <c r="F20" s="23">
        <f t="shared" ca="1" si="2"/>
        <v>2123.7061264422382</v>
      </c>
      <c r="G20" s="23">
        <f t="shared" si="2"/>
        <v>0</v>
      </c>
      <c r="H20" s="23">
        <f t="shared" si="2"/>
        <v>0</v>
      </c>
      <c r="I20" s="23">
        <f t="shared" si="2"/>
        <v>0</v>
      </c>
      <c r="J20" s="23">
        <f t="shared" si="2"/>
        <v>2.7733935088620813E-2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7440.4292656099797</v>
      </c>
      <c r="C26" s="39">
        <f>IF(ISERROR(B26*3.6/1000000/'E Balans VL '!Z12*100),0,B26*3.6/1000000/'E Balans VL '!Z12*100)</f>
        <v>0.20983980854447604</v>
      </c>
      <c r="D26" s="233" t="s">
        <v>691</v>
      </c>
      <c r="F26" s="6"/>
    </row>
    <row r="27" spans="1:18">
      <c r="A27" s="228" t="s">
        <v>52</v>
      </c>
      <c r="B27" s="33">
        <f>IF(ISERROR(TER_horeca_ele_kWh/1000),0,TER_horeca_ele_kWh/1000)</f>
        <v>13536.7363240868</v>
      </c>
      <c r="C27" s="39">
        <f>IF(ISERROR(B27*3.6/1000000/'E Balans VL '!Z9*100),0,B27*3.6/1000000/'E Balans VL '!Z9*100)</f>
        <v>1.0035827039945431</v>
      </c>
      <c r="D27" s="233" t="s">
        <v>691</v>
      </c>
      <c r="F27" s="6"/>
    </row>
    <row r="28" spans="1:18">
      <c r="A28" s="168" t="s">
        <v>51</v>
      </c>
      <c r="B28" s="33">
        <f>IF(ISERROR(TER_handel_ele_kWh/1000),0,TER_handel_ele_kWh/1000)</f>
        <v>10904.2915254361</v>
      </c>
      <c r="C28" s="39">
        <f>IF(ISERROR(B28*3.6/1000000/'E Balans VL '!Z13*100),0,B28*3.6/1000000/'E Balans VL '!Z13*100)</f>
        <v>0.32666664818099889</v>
      </c>
      <c r="D28" s="233" t="s">
        <v>691</v>
      </c>
      <c r="F28" s="6"/>
    </row>
    <row r="29" spans="1:18">
      <c r="A29" s="228" t="s">
        <v>50</v>
      </c>
      <c r="B29" s="33">
        <f>IF(ISERROR(TER_gezond_ele_kWh/1000),0,TER_gezond_ele_kWh/1000)</f>
        <v>2876.7725578043496</v>
      </c>
      <c r="C29" s="39">
        <f>IF(ISERROR(B29*3.6/1000000/'E Balans VL '!Z10*100),0,B29*3.6/1000000/'E Balans VL '!Z10*100)</f>
        <v>0.28445639806126655</v>
      </c>
      <c r="D29" s="233" t="s">
        <v>691</v>
      </c>
      <c r="F29" s="6"/>
    </row>
    <row r="30" spans="1:18">
      <c r="A30" s="228" t="s">
        <v>49</v>
      </c>
      <c r="B30" s="33">
        <f>IF(ISERROR(TER_ander_ele_kWh/1000),0,TER_ander_ele_kWh/1000)</f>
        <v>7932.6540227409605</v>
      </c>
      <c r="C30" s="39">
        <f>IF(ISERROR(B30*3.6/1000000/'E Balans VL '!Z14*100),0,B30*3.6/1000000/'E Balans VL '!Z14*100)</f>
        <v>0.32085241269840259</v>
      </c>
      <c r="D30" s="233" t="s">
        <v>691</v>
      </c>
      <c r="F30" s="6"/>
    </row>
    <row r="31" spans="1:18">
      <c r="A31" s="228" t="s">
        <v>54</v>
      </c>
      <c r="B31" s="33">
        <f>IF(ISERROR(TER_onderwijs_ele_kWh/1000),0,TER_onderwijs_ele_kWh/1000)</f>
        <v>557.46470606007802</v>
      </c>
      <c r="C31" s="39">
        <f>IF(ISERROR(B31*3.6/1000000/'E Balans VL '!Z11*100),0,B31*3.6/1000000/'E Balans VL '!Z11*100)</f>
        <v>0.15315993527072727</v>
      </c>
      <c r="D31" s="233" t="s">
        <v>691</v>
      </c>
    </row>
    <row r="32" spans="1:18">
      <c r="A32" s="228" t="s">
        <v>255</v>
      </c>
      <c r="B32" s="33">
        <f>IF(ISERROR(TER_rest_ele_kWh/1000),0,TER_rest_ele_kWh/1000)</f>
        <v>1.4770000000000001</v>
      </c>
      <c r="C32" s="39">
        <f>IF(ISERROR(B32*3.6/1000000/'E Balans VL '!Z8*100),0,B32*3.6/1000000/'E Balans VL '!Z8*100)</f>
        <v>1.2226494294922587E-5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1728.855390345444</v>
      </c>
      <c r="C5" s="17">
        <f>IF(ISERROR('Eigen informatie GS &amp; warmtenet'!B61),0,'Eigen informatie GS &amp; warmtenet'!B61)</f>
        <v>0</v>
      </c>
      <c r="D5" s="30">
        <f>SUM(D6:D15)</f>
        <v>2028.6767246386521</v>
      </c>
      <c r="E5" s="17">
        <f>SUM(E6:E15)</f>
        <v>5.2134001910753671</v>
      </c>
      <c r="F5" s="17">
        <f>SUM(F6:F15)</f>
        <v>681.90548982229302</v>
      </c>
      <c r="G5" s="18"/>
      <c r="H5" s="17"/>
      <c r="I5" s="17"/>
      <c r="J5" s="17">
        <f>SUM(J6:J15)</f>
        <v>0.20166092890465803</v>
      </c>
      <c r="K5" s="17"/>
      <c r="L5" s="17"/>
      <c r="M5" s="17"/>
      <c r="N5" s="17">
        <f>SUM(N6:N15)</f>
        <v>63.352100914451071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223.99707661479198</v>
      </c>
      <c r="C8" s="33"/>
      <c r="D8" s="37">
        <f>IF( ISERROR(IND_metaal_Gas_kWH/1000),0,IND_metaal_Gas_kWH/1000)*0.903</f>
        <v>110.93985868586846</v>
      </c>
      <c r="E8" s="33">
        <f>C30*'E Balans VL '!I18/100/3.6*1000000</f>
        <v>1.1294323431506919</v>
      </c>
      <c r="F8" s="33">
        <f>C30*'E Balans VL '!L18/100/3.6*1000000+C30*'E Balans VL '!N18/100/3.6*1000000</f>
        <v>15.303938001378894</v>
      </c>
      <c r="G8" s="34"/>
      <c r="H8" s="33"/>
      <c r="I8" s="33"/>
      <c r="J8" s="40">
        <f>C30*'E Balans VL '!D18/100/3.6*1000000+C30*'E Balans VL '!E18/100/3.6*1000000</f>
        <v>0.19859251561579633</v>
      </c>
      <c r="K8" s="33"/>
      <c r="L8" s="33"/>
      <c r="M8" s="33"/>
      <c r="N8" s="33">
        <f>C30*'E Balans VL '!Y18/100/3.6*1000000</f>
        <v>2.9769224775273497</v>
      </c>
      <c r="O8" s="33"/>
      <c r="P8" s="33"/>
      <c r="R8" s="32"/>
    </row>
    <row r="9" spans="1:18">
      <c r="A9" s="6" t="s">
        <v>32</v>
      </c>
      <c r="B9" s="37">
        <f t="shared" si="0"/>
        <v>1077.9032870035401</v>
      </c>
      <c r="C9" s="33"/>
      <c r="D9" s="37">
        <f>IF( ISERROR(IND_andere_gas_kWh/1000),0,IND_andere_gas_kWh/1000)*0.903</f>
        <v>1273.3363953496635</v>
      </c>
      <c r="E9" s="33">
        <f>C31*'E Balans VL '!I19/100/3.6*1000000</f>
        <v>3.3978059158610416</v>
      </c>
      <c r="F9" s="33">
        <f>C31*'E Balans VL '!L19/100/3.6*1000000+C31*'E Balans VL '!N19/100/3.6*1000000</f>
        <v>659.84705708029605</v>
      </c>
      <c r="G9" s="34"/>
      <c r="H9" s="33"/>
      <c r="I9" s="33"/>
      <c r="J9" s="40">
        <f>C31*'E Balans VL '!D19/100/3.6*1000000+C31*'E Balans VL '!E19/100/3.6*1000000</f>
        <v>0</v>
      </c>
      <c r="K9" s="33"/>
      <c r="L9" s="33"/>
      <c r="M9" s="33"/>
      <c r="N9" s="33">
        <f>C31*'E Balans VL '!Y19/100/3.6*1000000</f>
        <v>45.197948423630393</v>
      </c>
      <c r="O9" s="33"/>
      <c r="P9" s="33"/>
      <c r="R9" s="32"/>
    </row>
    <row r="10" spans="1:18">
      <c r="A10" s="6" t="s">
        <v>40</v>
      </c>
      <c r="B10" s="37">
        <f t="shared" si="0"/>
        <v>350.02897892353201</v>
      </c>
      <c r="C10" s="33"/>
      <c r="D10" s="37">
        <f>IF( ISERROR(IND_voed_gas_kWh/1000),0,IND_voed_gas_kWh/1000)*0.903</f>
        <v>419.40382190998497</v>
      </c>
      <c r="E10" s="33">
        <f>C32*'E Balans VL '!I20/100/3.6*1000000</f>
        <v>0.55784788914357319</v>
      </c>
      <c r="F10" s="33">
        <f>C32*'E Balans VL '!L20/100/3.6*1000000+C32*'E Balans VL '!N20/100/3.6*1000000</f>
        <v>5.6871205907306788</v>
      </c>
      <c r="G10" s="34"/>
      <c r="H10" s="33"/>
      <c r="I10" s="33"/>
      <c r="J10" s="40">
        <f>C32*'E Balans VL '!D20/100/3.6*1000000+C32*'E Balans VL '!E20/100/3.6*1000000</f>
        <v>0</v>
      </c>
      <c r="K10" s="33"/>
      <c r="L10" s="33"/>
      <c r="M10" s="33"/>
      <c r="N10" s="33">
        <f>C32*'E Balans VL '!Y20/100/3.6*1000000</f>
        <v>11.055663329309141</v>
      </c>
      <c r="O10" s="33"/>
      <c r="P10" s="33"/>
      <c r="R10" s="32"/>
    </row>
    <row r="11" spans="1:18">
      <c r="A11" s="6" t="s">
        <v>39</v>
      </c>
      <c r="B11" s="37">
        <f t="shared" si="0"/>
        <v>8.5840882872617996</v>
      </c>
      <c r="C11" s="33"/>
      <c r="D11" s="37">
        <f>IF( ISERROR(IND_textiel_gas_kWh/1000),0,IND_textiel_gas_kWh/1000)*0.903</f>
        <v>93.876278536436715</v>
      </c>
      <c r="E11" s="33">
        <f>C33*'E Balans VL '!I21/100/3.6*1000000</f>
        <v>1.2453943546010638E-2</v>
      </c>
      <c r="F11" s="33">
        <f>C33*'E Balans VL '!L21/100/3.6*1000000+C33*'E Balans VL '!N21/100/3.6*1000000</f>
        <v>0.16799612320575541</v>
      </c>
      <c r="G11" s="34"/>
      <c r="H11" s="33"/>
      <c r="I11" s="33"/>
      <c r="J11" s="40">
        <f>C33*'E Balans VL '!D21/100/3.6*1000000+C33*'E Balans VL '!E21/100/3.6*1000000</f>
        <v>0</v>
      </c>
      <c r="K11" s="33"/>
      <c r="L11" s="33"/>
      <c r="M11" s="33"/>
      <c r="N11" s="33">
        <f>C33*'E Balans VL '!Y21/100/3.6*1000000</f>
        <v>0.41819729939746403</v>
      </c>
      <c r="O11" s="33"/>
      <c r="P11" s="33"/>
      <c r="R11" s="32"/>
    </row>
    <row r="12" spans="1:18">
      <c r="A12" s="6" t="s">
        <v>36</v>
      </c>
      <c r="B12" s="37">
        <f t="shared" si="0"/>
        <v>21.623173284794699</v>
      </c>
      <c r="C12" s="33"/>
      <c r="D12" s="37">
        <f>IF( ISERROR(IND_min_gas_kWh/1000),0,IND_min_gas_kWh/1000)*0.903</f>
        <v>0</v>
      </c>
      <c r="E12" s="33">
        <f>C34*'E Balans VL '!I22/100/3.6*1000000</f>
        <v>9.3569326018005758E-2</v>
      </c>
      <c r="F12" s="33">
        <f>C34*'E Balans VL '!L22/100/3.6*1000000+C34*'E Balans VL '!N22/100/3.6*1000000</f>
        <v>0.82559944829314025</v>
      </c>
      <c r="G12" s="34"/>
      <c r="H12" s="33"/>
      <c r="I12" s="33"/>
      <c r="J12" s="40">
        <f>C34*'E Balans VL '!D22/100/3.6*1000000+C34*'E Balans VL '!E22/100/3.6*1000000</f>
        <v>0</v>
      </c>
      <c r="K12" s="33"/>
      <c r="L12" s="33"/>
      <c r="M12" s="33"/>
      <c r="N12" s="33">
        <f>C34*'E Balans VL '!Y22/100/3.6*1000000</f>
        <v>3.6884262695728784</v>
      </c>
      <c r="O12" s="33"/>
      <c r="P12" s="33"/>
      <c r="R12" s="32"/>
    </row>
    <row r="13" spans="1:18">
      <c r="A13" s="6" t="s">
        <v>38</v>
      </c>
      <c r="B13" s="37">
        <f t="shared" si="0"/>
        <v>45.834434780899201</v>
      </c>
      <c r="C13" s="33"/>
      <c r="D13" s="37">
        <f>IF( ISERROR(IND_papier_gas_kWh/1000),0,IND_papier_gas_kWh/1000)*0.903</f>
        <v>80.350684737805224</v>
      </c>
      <c r="E13" s="33">
        <f>C35*'E Balans VL '!I23/100/3.6*1000000</f>
        <v>0</v>
      </c>
      <c r="F13" s="33">
        <f>C35*'E Balans VL '!L23/100/3.6*1000000+C35*'E Balans VL '!N23/100/3.6*1000000</f>
        <v>1.9857608393237486E-3</v>
      </c>
      <c r="G13" s="34"/>
      <c r="H13" s="33"/>
      <c r="I13" s="33"/>
      <c r="J13" s="40">
        <f>C35*'E Balans VL '!D23/100/3.6*1000000+C35*'E Balans VL '!E23/100/3.6*1000000</f>
        <v>1.262957274643975E-3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0.884351450624</v>
      </c>
      <c r="C15" s="33"/>
      <c r="D15" s="37">
        <f>IF( ISERROR(IND_rest_gas_kWh/1000),0,IND_rest_gas_kWh/1000)*0.903</f>
        <v>50.769685418892927</v>
      </c>
      <c r="E15" s="33">
        <f>C37*'E Balans VL '!I15/100/3.6*1000000</f>
        <v>2.2290773356043323E-2</v>
      </c>
      <c r="F15" s="33">
        <f>C37*'E Balans VL '!L15/100/3.6*1000000+C37*'E Balans VL '!N15/100/3.6*1000000</f>
        <v>7.1792817549118509E-2</v>
      </c>
      <c r="G15" s="34"/>
      <c r="H15" s="33"/>
      <c r="I15" s="33"/>
      <c r="J15" s="40">
        <f>C37*'E Balans VL '!D15/100/3.6*1000000+C37*'E Balans VL '!E15/100/3.6*1000000</f>
        <v>1.8054560142177246E-3</v>
      </c>
      <c r="K15" s="33"/>
      <c r="L15" s="33"/>
      <c r="M15" s="33"/>
      <c r="N15" s="33">
        <f>C37*'E Balans VL '!Y15/100/3.6*1000000</f>
        <v>1.4943115013840724E-2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1728.855390345444</v>
      </c>
      <c r="C18" s="21">
        <f>C5+C16</f>
        <v>0</v>
      </c>
      <c r="D18" s="21">
        <f>MAX((D5+D16),0)</f>
        <v>2028.6767246386521</v>
      </c>
      <c r="E18" s="21">
        <f>MAX((E5+E16),0)</f>
        <v>5.2134001910753671</v>
      </c>
      <c r="F18" s="21">
        <f>MAX((F5+F16),0)</f>
        <v>681.90548982229302</v>
      </c>
      <c r="G18" s="21"/>
      <c r="H18" s="21"/>
      <c r="I18" s="21"/>
      <c r="J18" s="21">
        <f>MAX((J5+J16),0)</f>
        <v>0.20166092890465803</v>
      </c>
      <c r="K18" s="21"/>
      <c r="L18" s="21">
        <f>MAX((L5+L16),0)</f>
        <v>0</v>
      </c>
      <c r="M18" s="21"/>
      <c r="N18" s="21">
        <f>MAX((N5+N16),0)</f>
        <v>63.352100914451071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0.21185168998673443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366.26093618735774</v>
      </c>
      <c r="C22" s="23">
        <f ca="1">C18*C20</f>
        <v>0</v>
      </c>
      <c r="D22" s="23">
        <f>D18*D20</f>
        <v>409.79269837700775</v>
      </c>
      <c r="E22" s="23">
        <f>E18*E20</f>
        <v>1.1834418433741083</v>
      </c>
      <c r="F22" s="23">
        <f>F18*F20</f>
        <v>182.06876578255225</v>
      </c>
      <c r="G22" s="23"/>
      <c r="H22" s="23"/>
      <c r="I22" s="23"/>
      <c r="J22" s="23">
        <f>J18*J20</f>
        <v>7.1387968832248946E-2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223.99707661479198</v>
      </c>
      <c r="C30" s="39">
        <f>IF(ISERROR(B30*3.6/1000000/'E Balans VL '!Z18*100),0,B30*3.6/1000000/'E Balans VL '!Z18*100)</f>
        <v>1.1118710050029002E-2</v>
      </c>
      <c r="D30" s="233" t="s">
        <v>691</v>
      </c>
    </row>
    <row r="31" spans="1:18">
      <c r="A31" s="6" t="s">
        <v>32</v>
      </c>
      <c r="B31" s="37">
        <f>IF( ISERROR(IND_ander_ele_kWh/1000),0,IND_ander_ele_kWh/1000)</f>
        <v>1077.9032870035401</v>
      </c>
      <c r="C31" s="39">
        <f>IF(ISERROR(B31*3.6/1000000/'E Balans VL '!Z19*100),0,B31*3.6/1000000/'E Balans VL '!Z19*100)</f>
        <v>3.6373712418159072E-2</v>
      </c>
      <c r="D31" s="233" t="s">
        <v>691</v>
      </c>
    </row>
    <row r="32" spans="1:18">
      <c r="A32" s="168" t="s">
        <v>40</v>
      </c>
      <c r="B32" s="37">
        <f>IF( ISERROR(IND_voed_ele_kWh/1000),0,IND_voed_ele_kWh/1000)</f>
        <v>350.02897892353201</v>
      </c>
      <c r="C32" s="39">
        <f>IF(ISERROR(B32*3.6/1000000/'E Balans VL '!Z20*100),0,B32*3.6/1000000/'E Balans VL '!Z20*100)</f>
        <v>8.2201901282131177E-3</v>
      </c>
      <c r="D32" s="233" t="s">
        <v>691</v>
      </c>
    </row>
    <row r="33" spans="1:5">
      <c r="A33" s="168" t="s">
        <v>39</v>
      </c>
      <c r="B33" s="37">
        <f>IF( ISERROR(IND_textiel_ele_kWh/1000),0,IND_textiel_ele_kWh/1000)</f>
        <v>8.5840882872617996</v>
      </c>
      <c r="C33" s="39">
        <f>IF(ISERROR(B33*3.6/1000000/'E Balans VL '!Z21*100),0,B33*3.6/1000000/'E Balans VL '!Z21*100)</f>
        <v>9.4209280869170611E-4</v>
      </c>
      <c r="D33" s="233" t="s">
        <v>691</v>
      </c>
    </row>
    <row r="34" spans="1:5">
      <c r="A34" s="168" t="s">
        <v>36</v>
      </c>
      <c r="B34" s="37">
        <f>IF( ISERROR(IND_min_ele_kWh/1000),0,IND_min_ele_kWh/1000)</f>
        <v>21.623173284794699</v>
      </c>
      <c r="C34" s="39">
        <f>IF(ISERROR(B34*3.6/1000000/'E Balans VL '!Z22*100),0,B34*3.6/1000000/'E Balans VL '!Z22*100)</f>
        <v>3.0676959961495956E-3</v>
      </c>
      <c r="D34" s="233" t="s">
        <v>691</v>
      </c>
    </row>
    <row r="35" spans="1:5">
      <c r="A35" s="168" t="s">
        <v>38</v>
      </c>
      <c r="B35" s="37">
        <f>IF( ISERROR(IND_papier_ele_kWh/1000),0,IND_papier_ele_kWh/1000)</f>
        <v>45.834434780899201</v>
      </c>
      <c r="C35" s="39">
        <f>IF(ISERROR(B35*3.6/1000000/'E Balans VL '!Z22*100),0,B35*3.6/1000000/'E Balans VL '!Z22*100)</f>
        <v>6.5025660300293536E-3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0.884351450624</v>
      </c>
      <c r="C37" s="39">
        <f>IF(ISERROR(B37*3.6/1000000/'E Balans VL '!Z15*100),0,B37*3.6/1000000/'E Balans VL '!Z15*100)</f>
        <v>3.3141328866540511E-6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352.80227212207399</v>
      </c>
      <c r="C5" s="17">
        <f>'Eigen informatie GS &amp; warmtenet'!B62</f>
        <v>0</v>
      </c>
      <c r="D5" s="30">
        <f>IF(ISERROR(SUM(LB_lb_gas_kWh,LB_rest_gas_kWh)/1000),0,SUM(LB_lb_gas_kWh,LB_rest_gas_kWh)/1000)*0.903</f>
        <v>116.30120545711053</v>
      </c>
      <c r="E5" s="17">
        <f>B17*'E Balans VL '!I25/3.6*1000000/100</f>
        <v>13.157075872600899</v>
      </c>
      <c r="F5" s="17">
        <f>B17*('E Balans VL '!L25/3.6*1000000+'E Balans VL '!N25/3.6*1000000)/100</f>
        <v>1144.6268989282501</v>
      </c>
      <c r="G5" s="18"/>
      <c r="H5" s="17"/>
      <c r="I5" s="17"/>
      <c r="J5" s="17">
        <f>('E Balans VL '!D25+'E Balans VL '!E25)/3.6*1000000*landbouw!B17/100</f>
        <v>92.612338184098405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352.80227212207399</v>
      </c>
      <c r="C8" s="21">
        <f>C5+C6</f>
        <v>0</v>
      </c>
      <c r="D8" s="21">
        <f>MAX((D5+D6),0)</f>
        <v>116.30120545711053</v>
      </c>
      <c r="E8" s="21">
        <f>MAX((E5+E6),0)</f>
        <v>13.157075872600899</v>
      </c>
      <c r="F8" s="21">
        <f>MAX((F5+F6),0)</f>
        <v>1144.6268989282501</v>
      </c>
      <c r="G8" s="21"/>
      <c r="H8" s="21"/>
      <c r="I8" s="21"/>
      <c r="J8" s="21">
        <f>MAX((J5+J6),0)</f>
        <v>92.612338184098405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0.21185168998673443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74.741757580221133</v>
      </c>
      <c r="C12" s="23">
        <f ca="1">C8*C10</f>
        <v>0</v>
      </c>
      <c r="D12" s="23">
        <f>D8*D10</f>
        <v>23.492843502336328</v>
      </c>
      <c r="E12" s="23">
        <f>E8*E10</f>
        <v>2.9866562230804043</v>
      </c>
      <c r="F12" s="23">
        <f>F8*F10</f>
        <v>305.6153820138428</v>
      </c>
      <c r="G12" s="23"/>
      <c r="H12" s="23"/>
      <c r="I12" s="23"/>
      <c r="J12" s="23">
        <f>J8*J10</f>
        <v>32.784767717170837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4.8456471431962397E-2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59.202578740514227</v>
      </c>
      <c r="C26" s="243">
        <f>B26*'GWP N2O_CH4'!B5</f>
        <v>1243.2541535507987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37.074221122870952</v>
      </c>
      <c r="C27" s="243">
        <f>B27*'GWP N2O_CH4'!B5</f>
        <v>778.55864358028998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0.92751615828979939</v>
      </c>
      <c r="C28" s="243">
        <f>B28*'GWP N2O_CH4'!B4</f>
        <v>287.53000906983783</v>
      </c>
      <c r="D28" s="50"/>
    </row>
    <row r="29" spans="1:4">
      <c r="A29" s="41" t="s">
        <v>272</v>
      </c>
      <c r="B29" s="243">
        <f>B34*'ha_N2O bodem landbouw'!B4</f>
        <v>6.7701833465934484</v>
      </c>
      <c r="C29" s="243">
        <f>B29*'GWP N2O_CH4'!B4</f>
        <v>2098.7568374439688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1.5429441190586519E-3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1.8205679163394887E-4</v>
      </c>
      <c r="C5" s="434" t="s">
        <v>210</v>
      </c>
      <c r="D5" s="419">
        <f>SUM(D6:D11)</f>
        <v>3.2848538825058419E-4</v>
      </c>
      <c r="E5" s="419">
        <f>SUM(E6:E11)</f>
        <v>1.812317672327567E-4</v>
      </c>
      <c r="F5" s="432" t="s">
        <v>210</v>
      </c>
      <c r="G5" s="419">
        <f>SUM(G6:G11)</f>
        <v>8.6811743232653421E-2</v>
      </c>
      <c r="H5" s="419">
        <f>SUM(H6:H11)</f>
        <v>1.9968342487501383E-2</v>
      </c>
      <c r="I5" s="434" t="s">
        <v>210</v>
      </c>
      <c r="J5" s="434" t="s">
        <v>210</v>
      </c>
      <c r="K5" s="434" t="s">
        <v>210</v>
      </c>
      <c r="L5" s="434" t="s">
        <v>210</v>
      </c>
      <c r="M5" s="419">
        <f>SUM(M6:M11)</f>
        <v>6.2757471283705363E-3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1.5402931020411394E-4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2.6765451146397483E-4</v>
      </c>
      <c r="E6" s="885">
        <f>vkm_GW_PW*SUMIFS(TableVerdeelsleutelVkm[LPG],TableVerdeelsleutelVkm[Voertuigtype],"Lichte voertuigen")*SUMIFS(TableECFTransport[EnergieConsumptieFactor (PJ per km)],TableECFTransport[Index],CONCATENATE($A6,"_LPG_LPG"))</f>
        <v>1.4883336830270701E-4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4.4725842274152154E-2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1.6307191612987711E-2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3.6517572746698665E-3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6.3320833331101248E-7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2.6206908504126328E-2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2.6660724937557489E-7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1.4754893520557836E-3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2.7264455911503572E-5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6.0830876786609366E-5</v>
      </c>
      <c r="E8" s="422">
        <f>vkm_NGW_PW*SUMIFS(TableVerdeelsleutelVkm[LPG],TableVerdeelsleutelVkm[Voertuigtype],"Lichte voertuigen")*SUMIFS(TableECFTransport[EnergieConsumptieFactor (PJ per km)],TableECFTransport[Index],CONCATENATE($A8,"_LPG_LPG"))</f>
        <v>3.2398398930049683E-5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8.9600668228476191E-3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3.6608182930895723E-3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7.5895462846107794E-4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1.2981718502034492E-7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6.9189256315273298E-3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6.5974174724056047E-8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3.8954587318380818E-4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50.571331009430239</v>
      </c>
      <c r="C14" s="21"/>
      <c r="D14" s="21">
        <f t="shared" ref="D14:M14" si="0">((D5)*10^9/3600)+D12</f>
        <v>91.245941180717836</v>
      </c>
      <c r="E14" s="21">
        <f t="shared" si="0"/>
        <v>50.342157564654634</v>
      </c>
      <c r="F14" s="21"/>
      <c r="G14" s="21">
        <f t="shared" si="0"/>
        <v>24114.373120181506</v>
      </c>
      <c r="H14" s="21">
        <f t="shared" si="0"/>
        <v>5546.7618020837172</v>
      </c>
      <c r="I14" s="21"/>
      <c r="J14" s="21"/>
      <c r="K14" s="21"/>
      <c r="L14" s="21"/>
      <c r="M14" s="21">
        <f t="shared" si="0"/>
        <v>1743.263091214038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0.21185168998673443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10.713621939226345</v>
      </c>
      <c r="C18" s="23"/>
      <c r="D18" s="23">
        <f t="shared" ref="D18:M18" si="1">D14*D16</f>
        <v>18.431680118505003</v>
      </c>
      <c r="E18" s="23">
        <f t="shared" si="1"/>
        <v>11.427669767176603</v>
      </c>
      <c r="F18" s="23"/>
      <c r="G18" s="23">
        <f t="shared" si="1"/>
        <v>6438.5376230884622</v>
      </c>
      <c r="H18" s="23">
        <f t="shared" si="1"/>
        <v>1381.1436887188456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2.9028516703423469E-3</v>
      </c>
      <c r="C50" s="315">
        <f t="shared" ref="C50:P50" si="2">SUM(C51:C52)</f>
        <v>0</v>
      </c>
      <c r="D50" s="315">
        <f t="shared" si="2"/>
        <v>0</v>
      </c>
      <c r="E50" s="315">
        <f t="shared" si="2"/>
        <v>0</v>
      </c>
      <c r="F50" s="315">
        <f t="shared" si="2"/>
        <v>0</v>
      </c>
      <c r="G50" s="315">
        <f t="shared" si="2"/>
        <v>1.1194644478306984E-3</v>
      </c>
      <c r="H50" s="315">
        <f t="shared" si="2"/>
        <v>0</v>
      </c>
      <c r="I50" s="315">
        <f t="shared" si="2"/>
        <v>0</v>
      </c>
      <c r="J50" s="315">
        <f t="shared" si="2"/>
        <v>0</v>
      </c>
      <c r="K50" s="315">
        <f t="shared" si="2"/>
        <v>0</v>
      </c>
      <c r="L50" s="315">
        <f t="shared" si="2"/>
        <v>0</v>
      </c>
      <c r="M50" s="315">
        <f t="shared" si="2"/>
        <v>6.1815252671509451E-5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1.5683562924620433E-5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1.1194644478306984E-3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6.1815252671509451E-5</v>
      </c>
      <c r="N51" s="317"/>
      <c r="O51" s="317"/>
      <c r="P51" s="320"/>
    </row>
    <row r="52" spans="1:18">
      <c r="A52" s="4" t="s">
        <v>324</v>
      </c>
      <c r="B52" s="886">
        <f>vkm_tram*SUMIFS(TableECFTransport[EnergieConsumptieFactor (PJ per km)],TableECFTransport[Index],"Tram_gemiddeld_Electric_Electric")</f>
        <v>2.8871681074177265E-3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806.34768620620741</v>
      </c>
      <c r="C54" s="21">
        <f t="shared" ref="C54:P54" si="3">(C50)*10^9/3600</f>
        <v>0</v>
      </c>
      <c r="D54" s="21">
        <f t="shared" si="3"/>
        <v>0</v>
      </c>
      <c r="E54" s="21">
        <f t="shared" si="3"/>
        <v>0</v>
      </c>
      <c r="F54" s="21">
        <f t="shared" si="3"/>
        <v>0</v>
      </c>
      <c r="G54" s="21">
        <f t="shared" si="3"/>
        <v>310.96234661963848</v>
      </c>
      <c r="H54" s="21">
        <f t="shared" si="3"/>
        <v>0</v>
      </c>
      <c r="I54" s="21">
        <f t="shared" si="3"/>
        <v>0</v>
      </c>
      <c r="J54" s="21">
        <f t="shared" si="3"/>
        <v>0</v>
      </c>
      <c r="K54" s="21">
        <f t="shared" si="3"/>
        <v>0</v>
      </c>
      <c r="L54" s="21">
        <f t="shared" si="3"/>
        <v>0</v>
      </c>
      <c r="M54" s="21">
        <f t="shared" si="3"/>
        <v>17.170903519863735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0.21185168998673443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170.82612003967807</v>
      </c>
      <c r="C58" s="23">
        <f t="shared" ref="C58:P58" ca="1" si="4">C54*C56</f>
        <v>0</v>
      </c>
      <c r="D58" s="23">
        <f t="shared" si="4"/>
        <v>0</v>
      </c>
      <c r="E58" s="23">
        <f t="shared" si="4"/>
        <v>0</v>
      </c>
      <c r="F58" s="23">
        <f t="shared" si="4"/>
        <v>0</v>
      </c>
      <c r="G58" s="23">
        <f t="shared" si="4"/>
        <v>83.026946547443472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3633.7559702141889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3633.7559702141889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2021-06-29T14:30:03Z</dcterms:modified>
</cp:coreProperties>
</file>