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D8" i="17" s="1"/>
  <c r="D12" i="17" s="1"/>
  <c r="E54" i="14" s="1"/>
  <c r="B36" i="13"/>
  <c r="B35" i="13"/>
  <c r="C35" i="13" s="1"/>
  <c r="B34" i="13"/>
  <c r="B33" i="13"/>
  <c r="B32" i="13"/>
  <c r="C34" i="13"/>
  <c r="B13" i="15"/>
  <c r="F6" i="17"/>
  <c r="F8" i="17" s="1"/>
  <c r="G24" i="14" s="1"/>
  <c r="G26" i="14" s="1"/>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20" i="16"/>
  <c r="C22" i="16" s="1"/>
  <c r="D43" i="14" s="1"/>
  <c r="C10" i="17"/>
  <c r="C12" i="17" s="1"/>
  <c r="D54" i="14" s="1"/>
  <c r="D56" i="14" s="1"/>
  <c r="C22" i="59"/>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<sst xmlns="http://schemas.openxmlformats.org/spreadsheetml/2006/main" count="2457" uniqueCount="889">
  <si>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</si>
  <si>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</si>
  <si>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</si>
  <si>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</si>
  <si>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</si>
  <si>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</si>
  <si>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</si>
  <si>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</si>
  <si>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</si>
  <si>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</si>
  <si>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</si>
  <si>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</si>
  <si>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</si>
  <si>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</si>
  <si>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</si>
  <si>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</si>
  <si>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</si>
  <si>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</si>
  <si>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</si>
  <si>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</si>
  <si>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</si>
  <si>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</si>
  <si>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</si>
  <si>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</si>
  <si>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</si>
  <si>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</si>
  <si>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</si>
  <si>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</si>
  <si>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</si>
  <si>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</si>
  <si>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</si>
  <si>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</si>
  <si>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</si>
  <si>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</si>
  <si>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</si>
  <si>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</si>
  <si>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</si>
  <si>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</si>
  <si>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</si>
  <si>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</si>
  <si>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</si>
  <si>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</si>
  <si>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</si>
  <si>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</si>
  <si>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</si>
  <si>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</si>
  <si>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</si>
  <si>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</si>
  <si>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</si>
  <si>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</si>
  <si>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</si>
  <si>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</si>
  <si>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</si>
  <si>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</si>
  <si>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</si>
  <si>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</si>
  <si>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</si>
  <si>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</si>
  <si>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</si>
  <si>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</si>
  <si>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</si>
  <si>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</si>
  <si>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</si>
  <si>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</si>
  <si>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</si>
  <si>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</si>
  <si>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</si>
  <si>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</si>
  <si>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</si>
  <si>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</si>
  <si>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</si>
  <si>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</si>
  <si>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</si>
  <si>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</si>
  <si>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</si>
  <si>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</si>
  <si>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</si>
  <si>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</si>
  <si>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</si>
  <si>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</si>
  <si>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</si>
  <si>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</si>
  <si>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</si>
  <si>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</si>
  <si>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</si>
  <si>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</si>
  <si>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</si>
  <si>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</si>
  <si>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</si>
  <si>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</si>
  <si>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</si>
  <si>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</si>
  <si>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</si>
  <si>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</si>
  <si>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</si>
  <si>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</si>
  <si>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</si>
  <si>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</si>
  <si>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</si>
  <si>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</si>
  <si>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</si>
  <si>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</si>
  <si>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</si>
  <si>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</si>
  <si>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</si>
  <si>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</si>
  <si>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</si>
  <si>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</si>
  <si>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</si>
  <si>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</si>
  <si>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</si>
  <si>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</si>
  <si>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</si>
  <si>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</si>
  <si>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</si>
  <si>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</si>
  <si>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</si>
  <si>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</si>
  <si>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</si>
  <si>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</si>
  <si>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</si>
  <si>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</si>
  <si>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</si>
  <si>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</si>
  <si>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</si>
  <si>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</si>
  <si>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</si>
  <si>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</si>
  <si>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</si>
  <si>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</si>
  <si>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</si>
  <si>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</si>
  <si>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</si>
  <si>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</si>
  <si>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</si>
  <si>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</si>
  <si>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</si>
  <si>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</si>
  <si>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</si>
  <si>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</si>
  <si>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</si>
  <si>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</si>
  <si>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</si>
  <si>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</si>
  <si>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</si>
  <si>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</si>
  <si>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</si>
  <si>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</si>
  <si>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</si>
  <si>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</si>
  <si>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</si>
  <si>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</si>
  <si>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</si>
  <si>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</si>
  <si>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</si>
  <si>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</si>
  <si>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</si>
  <si>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</si>
  <si>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</si>
  <si>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</si>
  <si>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</si>
  <si>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</si>
  <si>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</si>
  <si>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</si>
  <si>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</si>
  <si>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</si>
  <si>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</si>
  <si>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</si>
  <si>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</si>
  <si>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</si>
  <si>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</si>
  <si>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</si>
  <si>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</si>
  <si>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</si>
  <si>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</si>
  <si>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</si>
  <si>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</si>
  <si>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</si>
  <si>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</si>
  <si>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</si>
  <si>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</si>
  <si>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</si>
  <si>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</si>
  <si>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</si>
  <si>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</si>
  <si>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</si>
  <si>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</si>
  <si>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</si>
  <si>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</si>
  <si>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</si>
  <si>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</si>
  <si>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</si>
  <si>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</si>
  <si>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</si>
  <si>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</si>
  <si>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</si>
  <si>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</si>
  <si>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</si>
  <si>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</si>
  <si>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</si>
  <si>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</si>
  <si>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</si>
  <si>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</si>
  <si>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</si>
  <si>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</si>
  <si>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</si>
  <si>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</si>
  <si>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</si>
  <si>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</si>
  <si>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</si>
  <si>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</si>
  <si>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</si>
  <si>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</si>
  <si>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</si>
  <si>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</si>
  <si>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</si>
  <si>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</si>
  <si>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</si>
  <si>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</si>
  <si>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</si>
  <si>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</si>
  <si>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</si>
  <si>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</si>
  <si>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</si>
  <si>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</si>
  <si>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</si>
  <si>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</si>
  <si>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</si>
  <si>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</si>
  <si>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</si>
  <si>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</si>
  <si>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</si>
  <si>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</si>
  <si>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</si>
  <si>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</si>
  <si>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</si>
  <si>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</si>
  <si>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</si>
  <si>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</si>
  <si>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</si>
  <si>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</si>
  <si>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</si>
  <si>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</si>
  <si>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</si>
  <si>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</si>
  <si>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</si>
  <si>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</si>
  <si>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</si>
  <si>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</si>
  <si>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</si>
  <si>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</si>
  <si>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</si>
  <si>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</si>
  <si>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</si>
  <si>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</si>
  <si>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</si>
  <si>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</si>
  <si>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</si>
  <si>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</si>
  <si>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</si>
  <si>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</si>
  <si>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</si>
  <si>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</si>
  <si>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</si>
  <si>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</si>
  <si>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</si>
  <si>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</si>
  <si>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</si>
  <si>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</si>
  <si>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</si>
  <si>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</si>
  <si>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</si>
  <si>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</si>
  <si>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</si>
  <si>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</si>
  <si>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</si>
  <si>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</si>
  <si>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</si>
  <si>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</si>
  <si>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</si>
  <si>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</si>
  <si>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</si>
  <si>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</si>
  <si>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</si>
  <si>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</si>
  <si>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</si>
  <si>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</si>
  <si>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</si>
  <si>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</si>
  <si>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</si>
  <si>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</si>
  <si>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</si>
  <si>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</si>
  <si>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</si>
  <si>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</si>
  <si>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</si>
  <si>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</si>
  <si>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</si>
  <si>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</si>
  <si>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</si>
  <si>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</si>
  <si>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</si>
  <si>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</si>
  <si>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</si>
  <si>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</si>
  <si>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</si>
  <si>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</si>
  <si>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</si>
  <si>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</si>
  <si>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</si>
  <si>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</si>
  <si>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</si>
  <si>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</si>
  <si>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</si>
  <si>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</si>
  <si>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</si>
  <si>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</si>
  <si>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</si>
  <si>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</si>
  <si>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</si>
  <si>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</si>
  <si>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</si>
  <si>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</si>
  <si>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</si>
  <si>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</si>
  <si>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</si>
  <si>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</si>
  <si>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</si>
  <si>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</si>
  <si>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</si>
  <si>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</si>
  <si>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</si>
  <si>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</si>
  <si>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</si>
  <si>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</si>
  <si>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</si>
  <si>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</si>
  <si>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</si>
  <si>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</si>
  <si>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</si>
  <si>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</si>
  <si>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</si>
  <si>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</si>
  <si>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</si>
  <si>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</si>
  <si>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</si>
  <si>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</si>
  <si>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</si>
  <si>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</si>
  <si>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</si>
  <si>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</si>
  <si>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</si>
  <si>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</si>
  <si>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</si>
  <si>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</si>
  <si>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</si>
  <si>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</si>
  <si>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</si>
  <si>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</si>
  <si>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</si>
  <si>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</si>
  <si>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</si>
  <si>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</si>
  <si>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</si>
  <si>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</si>
  <si>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</si>
  <si>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</si>
  <si>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</si>
  <si>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</si>
  <si>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</si>
  <si>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</si>
  <si>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</si>
  <si>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</si>
  <si>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</si>
  <si>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</si>
  <si>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</si>
  <si>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</si>
  <si>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</si>
  <si>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</si>
  <si>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</si>
  <si>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</si>
  <si>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</si>
  <si>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</si>
  <si>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</si>
  <si>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</si>
  <si>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</si>
  <si>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</si>
  <si>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</si>
  <si>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</si>
  <si>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</si>
  <si>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</si>
  <si>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</si>
  <si>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</si>
  <si>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</si>
  <si>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</si>
  <si>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</si>
  <si>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</si>
  <si>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</si>
  <si>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</si>
  <si>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</si>
  <si>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</si>
  <si>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</si>
  <si>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</si>
  <si>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</si>
  <si>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</si>
  <si>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</si>
  <si>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</si>
  <si>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</si>
  <si>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</si>
  <si>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</si>
  <si>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</si>
  <si>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</si>
  <si>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</si>
  <si>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</si>
  <si>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</si>
  <si>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</si>
  <si>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</si>
  <si>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</si>
  <si>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</si>
  <si>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</si>
  <si>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</si>
  <si>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</si>
  <si>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</si>
  <si>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</si>
  <si>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</si>
  <si>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</si>
  <si>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</si>
  <si>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</si>
  <si>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</si>
  <si>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</si>
  <si>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</si>
  <si>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</si>
  <si>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</si>
  <si>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</si>
  <si>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</si>
  <si>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</si>
  <si>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</si>
  <si>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</si>
  <si>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</si>
  <si>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</si>
  <si>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</si>
  <si>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</si>
  <si>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</si>
  <si>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</si>
  <si>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</si>
  <si>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</si>
  <si>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</si>
  <si>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</si>
  <si>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</si>
  <si>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</si>
  <si>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</si>
  <si>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</si>
  <si>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</si>
  <si>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</si>
  <si>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</si>
  <si>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</si>
  <si>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</si>
  <si>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</si>
  <si>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</si>
  <si>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</si>
  <si>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</si>
  <si>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</si>
  <si>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</si>
  <si>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</si>
  <si>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</si>
  <si>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</si>
  <si>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</si>
  <si>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</si>
  <si>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</si>
  <si>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</si>
  <si>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</si>
  <si>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</si>
  <si>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</si>
  <si>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</si>
  <si>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</si>
  <si>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</si>
  <si>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</si>
  <si>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</si>
  <si>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</si>
  <si>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</si>
  <si>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</si>
  <si>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</si>
  <si>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</si>
  <si>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</si>
  <si>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</si>
  <si>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</si>
  <si>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</si>
  <si>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</si>
  <si>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</si>
  <si>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</si>
  <si>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</si>
  <si>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</si>
  <si>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</si>
  <si>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</si>
  <si>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</si>
  <si>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</si>
  <si>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</si>
  <si>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</si>
  <si>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</si>
  <si>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</si>
  <si>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</si>
  <si>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</si>
  <si>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</si>
  <si>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</si>
  <si>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</si>
  <si>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</si>
  <si>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</si>
  <si>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</si>
  <si>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</si>
  <si>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</si>
  <si>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</si>
  <si>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</si>
  <si>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</si>
  <si>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</si>
  <si>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</si>
  <si>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</si>
  <si>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</si>
  <si>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</si>
  <si>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</si>
  <si>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</si>
  <si>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</si>
  <si>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</si>
  <si>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</si>
  <si>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</si>
  <si>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</si>
  <si>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</si>
  <si>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</si>
  <si>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</si>
  <si>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</si>
  <si>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</si>
  <si>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</si>
  <si>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</si>
  <si>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</si>
  <si>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</si>
  <si>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</si>
  <si>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</si>
  <si>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</si>
  <si>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</si>
  <si>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</si>
  <si>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</si>
  <si>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</si>
  <si>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</si>
  <si>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</si>
  <si>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</si>
  <si>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</si>
  <si>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</si>
  <si>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</si>
  <si>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</si>
  <si>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</si>
  <si>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</si>
  <si>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</si>
  <si>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</si>
  <si>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</si>
  <si>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</si>
  <si>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</si>
  <si>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</si>
  <si>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</si>
  <si>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</si>
  <si>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</si>
  <si>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</si>
  <si>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</si>
  <si>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</si>
  <si>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</si>
  <si>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</si>
  <si>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</si>
  <si>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</si>
  <si>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</si>
  <si>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</si>
  <si>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</si>
  <si>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</si>
  <si>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</si>
  <si>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</si>
  <si>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</si>
  <si>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</si>
  <si>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</si>
  <si>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</si>
  <si>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</si>
  <si>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</si>
  <si>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</si>
  <si>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</si>
  <si>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</si>
  <si>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</si>
  <si>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</si>
  <si>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</si>
  <si>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</si>
  <si>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</si>
  <si>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</si>
  <si>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</si>
  <si>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</si>
  <si>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</si>
  <si>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</si>
  <si>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</si>
  <si>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</si>
  <si>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</si>
  <si>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</si>
  <si>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</si>
  <si>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</si>
  <si>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</si>
  <si>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</si>
  <si>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</si>
  <si>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</si>
  <si>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</si>
  <si>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</si>
  <si>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</si>
  <si>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</si>
  <si>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</si>
  <si>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</si>
  <si>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</si>
  <si>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</si>
  <si>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</si>
  <si>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</si>
  <si>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</si>
  <si>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</si>
  <si>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</si>
  <si>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</si>
  <si>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</si>
  <si>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</si>
  <si>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</si>
  <si>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</si>
  <si>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</si>
  <si>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</si>
  <si>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</si>
  <si>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</si>
  <si>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</si>
  <si>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</si>
  <si>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</si>
  <si>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</si>
  <si>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</si>
  <si>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</si>
  <si>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</si>
  <si>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</si>
  <si>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</si>
  <si>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</si>
  <si>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</si>
  <si>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</si>
  <si>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</si>
  <si>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</si>
  <si>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</si>
  <si>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</si>
  <si>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</si>
  <si>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</si>
  <si>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</si>
  <si>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</si>
  <si>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</si>
  <si>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</si>
  <si>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</si>
  <si>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</si>
  <si>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</si>
  <si>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</si>
  <si>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</si>
  <si>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</si>
  <si>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</si>
  <si>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</si>
  <si>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</si>
  <si>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</si>
  <si>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</si>
  <si>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</si>
  <si>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</si>
  <si>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</si>
  <si>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</si>
  <si>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</si>
  <si>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</si>
  <si>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</si>
  <si>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</si>
  <si>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</si>
  <si>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</si>
  <si>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</si>
  <si>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</si>
  <si>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</si>
  <si>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</si>
  <si>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</si>
  <si>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</si>
  <si>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</si>
  <si>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</si>
  <si>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</si>
  <si>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</si>
  <si>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</si>
  <si>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</si>
  <si>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</si>
  <si>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</si>
  <si>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</si>
  <si>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</si>
  <si>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</si>
  <si>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</si>
  <si>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</si>
  <si>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</si>
  <si>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</si>
  <si>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</si>
  <si>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</si>
  <si>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</si>
  <si>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</si>
  <si>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</si>
  <si>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</si>
  <si>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</si>
  <si>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</si>
  <si>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</si>
  <si>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</si>
  <si>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</si>
  <si>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</si>
  <si>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</si>
  <si>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</si>
  <si>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</si>
  <si>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</si>
  <si>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</si>
  <si>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</si>
  <si>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</si>
  <si>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</si>
  <si>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</si>
  <si>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</si>
  <si>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</si>
  <si>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</si>
  <si>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</si>
  <si>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</si>
  <si>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</si>
  <si>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</si>
  <si>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</si>
  <si>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</si>
  <si>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</si>
  <si>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</si>
  <si>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</si>
  <si>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</si>
  <si>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</si>
  <si>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</si>
  <si>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</si>
  <si>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</si>
  <si>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</si>
  <si>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</si>
  <si>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</si>
  <si>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</si>
  <si>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</si>
  <si>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</si>
  <si>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</si>
  <si>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</si>
  <si>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</si>
  <si>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</si>
  <si>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</si>
  <si>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</si>
  <si>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</si>
  <si>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</si>
  <si>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</si>
  <si>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</si>
  <si>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</si>
  <si>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</si>
  <si>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</si>
  <si>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</si>
  <si>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</si>
  <si>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</si>
  <si>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</si>
  <si>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</si>
  <si>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</si>
  <si>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</si>
  <si>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</si>
  <si>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</si>
  <si>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</si>
  <si>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</si>
  <si>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</si>
  <si>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</si>
  <si>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</si>
  <si>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</si>
  <si>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</si>
  <si>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</si>
  <si>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</si>
  <si>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</si>
  <si>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</si>
  <si>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</si>
  <si>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</si>
  <si>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</si>
  <si>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</si>
  <si>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</si>
  <si>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</si>
  <si>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</si>
  <si>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</si>
  <si>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</si>
  <si>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</si>
  <si>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</si>
  <si>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</si>
  <si>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</si>
  <si>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</si>
  <si>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</si>
  <si>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</si>
  <si>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</si>
  <si>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</si>
  <si>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</si>
  <si>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</si>
  <si>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</si>
  <si>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</si>
  <si>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</si>
  <si>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</si>
  <si>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</si>
  <si>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</si>
  <si>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</si>
  <si>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</si>
  <si>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</si>
  <si>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</si>
  <si>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</si>
  <si>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</si>
  <si>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</si>
  <si>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</si>
  <si>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</si>
  <si>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</si>
  <si>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</si>
  <si>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</si>
  <si>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</si>
  <si>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</si>
  <si>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</si>
  <si>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</si>
  <si>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</si>
  <si>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</si>
  <si>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</si>
  <si>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</si>
  <si>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</si>
  <si>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</si>
  <si>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</si>
  <si>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</si>
  <si>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</si>
  <si>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</si>
  <si>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</si>
  <si>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</si>
  <si>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</si>
  <si>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</si>
  <si>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</si>
  <si>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</si>
  <si>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</si>
  <si>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</si>
  <si>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</si>
  <si>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</si>
  <si>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</si>
  <si>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</si>
  <si>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</si>
  <si>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</si>
  <si>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</si>
  <si>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</si>
  <si>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</si>
  <si>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</si>
  <si>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</si>
  <si>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</si>
  <si>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</si>
  <si>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</si>
  <si>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</si>
  <si>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</si>
  <si>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</si>
  <si>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</si>
  <si>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</si>
  <si>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</si>
  <si>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</si>
  <si>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</si>
  <si>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</si>
  <si>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</si>
  <si>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</si>
  <si>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</si>
  <si>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</si>
  <si>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</si>
  <si>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</si>
  <si>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</si>
  <si>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</si>
  <si>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</si>
  <si>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</si>
  <si>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</si>
  <si>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</si>
  <si>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</si>
  <si>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</si>
  <si>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</si>
  <si>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</si>
  <si>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</si>
  <si>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</si>
  <si>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</si>
  <si>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</si>
  <si>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</si>
  <si>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</si>
  <si>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</si>
  <si>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</si>
  <si>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</si>
  <si>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</si>
  <si>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</si>
  <si>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</si>
  <si>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</si>
  <si>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</si>
  <si>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</si>
  <si>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</si>
  <si>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24130</t>
  </si>
  <si>
    <t>ZOUTLEEUW</t>
  </si>
  <si>
    <t>referentietaak LNE (2017); Jaarverslag De Lijn</t>
  </si>
  <si>
    <t>waterkracht</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</si>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</sst>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73266.181318404211</c:v>
                </c:pt>
                <c:pt idx="1">
                  <c:v>43295.807223871489</c:v>
                </c:pt>
                <c:pt idx="2">
                  <c:v>572.45899999999995</c:v>
                </c:pt>
                <c:pt idx="3">
                  <c:v>11095.4144234165</c:v>
                </c:pt>
                <c:pt idx="4">
                  <c:v>1500.0070710642294</c:v>
                </c:pt>
                <c:pt idx="5">
                  <c:v>40112.585028337038</c:v>
                </c:pt>
                <c:pt idx="6">
                  <c:v>1038.8775335339515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73266.181318404211</c:v>
                </c:pt>
                <c:pt idx="1">
                  <c:v>43295.807223871489</c:v>
                </c:pt>
                <c:pt idx="2">
                  <c:v>572.45899999999995</c:v>
                </c:pt>
                <c:pt idx="3">
                  <c:v>11095.4144234165</c:v>
                </c:pt>
                <c:pt idx="4">
                  <c:v>1500.0070710642294</c:v>
                </c:pt>
                <c:pt idx="5">
                  <c:v>40112.585028337038</c:v>
                </c:pt>
                <c:pt idx="6">
                  <c:v>1038.8775335339515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14842.954896734482</c:v>
                </c:pt>
                <c:pt idx="1">
                  <c:v>4381.006238718619</c:v>
                </c:pt>
                <c:pt idx="2">
                  <c:v>76.051931144103165</c:v>
                </c:pt>
                <c:pt idx="3">
                  <c:v>2676.9472032609178</c:v>
                </c:pt>
                <c:pt idx="4">
                  <c:v>272.6490742330555</c:v>
                </c:pt>
                <c:pt idx="5">
                  <c:v>9934.7742673345601</c:v>
                </c:pt>
                <c:pt idx="6">
                  <c:v>261.22938109438024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14842.954896734482</c:v>
                </c:pt>
                <c:pt idx="1">
                  <c:v>4381.006238718619</c:v>
                </c:pt>
                <c:pt idx="2">
                  <c:v>76.051931144103165</c:v>
                </c:pt>
                <c:pt idx="3">
                  <c:v>2676.9472032609178</c:v>
                </c:pt>
                <c:pt idx="4">
                  <c:v>272.6490742330555</c:v>
                </c:pt>
                <c:pt idx="5">
                  <c:v>9934.7742673345601</c:v>
                </c:pt>
                <c:pt idx="6">
                  <c:v>261.22938109438024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24130</v>
      </c>
      <c r="B6" s="386"/>
      <c r="C6" s="387"/>
    </row>
    <row r="7" spans="1:7" s="384" customFormat="1" ht="15.75" customHeight="1">
      <c r="A7" s="388" t="str">
        <f>txtMunicipality</f>
        <v>ZOUTLEEUW</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21505.978396000002</v>
      </c>
      <c r="D10" s="682">
        <f ca="1">tertiair!C16</f>
        <v>15075</v>
      </c>
      <c r="E10" s="682">
        <f ca="1">tertiair!D16</f>
        <v>5072.0804124899996</v>
      </c>
      <c r="F10" s="682">
        <f>tertiair!E16</f>
        <v>50.848984638114878</v>
      </c>
      <c r="G10" s="682">
        <f ca="1">tertiair!F16</f>
        <v>2111.7970192487883</v>
      </c>
      <c r="H10" s="682">
        <f>tertiair!G16</f>
        <v>0</v>
      </c>
      <c r="I10" s="682">
        <f>tertiair!H16</f>
        <v>0</v>
      </c>
      <c r="J10" s="682">
        <f>tertiair!I16</f>
        <v>0</v>
      </c>
      <c r="K10" s="682">
        <f>tertiair!J16</f>
        <v>2.2273188092302894E-2</v>
      </c>
      <c r="L10" s="682">
        <f>tertiair!K16</f>
        <v>0</v>
      </c>
      <c r="M10" s="682">
        <f ca="1">tertiair!L16</f>
        <v>0</v>
      </c>
      <c r="N10" s="682">
        <f>tertiair!M16</f>
        <v>0</v>
      </c>
      <c r="O10" s="682">
        <f ca="1">tertiair!N16</f>
        <v>0</v>
      </c>
      <c r="P10" s="682">
        <f>tertiair!O16</f>
        <v>0</v>
      </c>
      <c r="Q10" s="683">
        <f>tertiair!P16</f>
        <v>52.539138306495019</v>
      </c>
      <c r="R10" s="685">
        <f ca="1">SUM(C10:Q10)</f>
        <v>43868.266223871491</v>
      </c>
      <c r="S10" s="67"/>
    </row>
    <row r="11" spans="1:19" s="445" customFormat="1">
      <c r="A11" s="803" t="s">
        <v>220</v>
      </c>
      <c r="B11" s="808"/>
      <c r="C11" s="682">
        <f>huishoudens!B8</f>
        <v>15074.591049604367</v>
      </c>
      <c r="D11" s="682">
        <f>huishoudens!C8</f>
        <v>0</v>
      </c>
      <c r="E11" s="682">
        <f>huishoudens!D8</f>
        <v>16307.376097929002</v>
      </c>
      <c r="F11" s="682">
        <f>huishoudens!E8</f>
        <v>1507.6497588812938</v>
      </c>
      <c r="G11" s="682">
        <f>huishoudens!F8</f>
        <v>34244.576618259998</v>
      </c>
      <c r="H11" s="682">
        <f>huishoudens!G8</f>
        <v>0</v>
      </c>
      <c r="I11" s="682">
        <f>huishoudens!H8</f>
        <v>0</v>
      </c>
      <c r="J11" s="682">
        <f>huishoudens!I8</f>
        <v>0</v>
      </c>
      <c r="K11" s="682">
        <f>huishoudens!J8</f>
        <v>171.31983909771731</v>
      </c>
      <c r="L11" s="682">
        <f>huishoudens!K8</f>
        <v>0</v>
      </c>
      <c r="M11" s="682">
        <f>huishoudens!L8</f>
        <v>0</v>
      </c>
      <c r="N11" s="682">
        <f>huishoudens!M8</f>
        <v>0</v>
      </c>
      <c r="O11" s="682">
        <f>huishoudens!N8</f>
        <v>5340.2995921749789</v>
      </c>
      <c r="P11" s="682">
        <f>huishoudens!O8</f>
        <v>188.47603084176802</v>
      </c>
      <c r="Q11" s="683">
        <f>huishoudens!P8</f>
        <v>431.89233161508594</v>
      </c>
      <c r="R11" s="685">
        <f>SUM(C11:Q11)</f>
        <v>73266.181318404211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608.22917100000006</v>
      </c>
      <c r="D13" s="682">
        <f>industrie!C18</f>
        <v>0</v>
      </c>
      <c r="E13" s="682">
        <f>industrie!D18</f>
        <v>623.09612198399986</v>
      </c>
      <c r="F13" s="682">
        <f>industrie!E18</f>
        <v>2.0055573027146423</v>
      </c>
      <c r="G13" s="682">
        <f>industrie!F18</f>
        <v>245.30963445727264</v>
      </c>
      <c r="H13" s="682">
        <f>industrie!G18</f>
        <v>0</v>
      </c>
      <c r="I13" s="682">
        <f>industrie!H18</f>
        <v>0</v>
      </c>
      <c r="J13" s="682">
        <f>industrie!I18</f>
        <v>0</v>
      </c>
      <c r="K13" s="682">
        <f>industrie!J18</f>
        <v>7.5362350557149863E-2</v>
      </c>
      <c r="L13" s="682">
        <f>industrie!K18</f>
        <v>0</v>
      </c>
      <c r="M13" s="682">
        <f>industrie!L18</f>
        <v>0</v>
      </c>
      <c r="N13" s="682">
        <f>industrie!M18</f>
        <v>0</v>
      </c>
      <c r="O13" s="682">
        <f>industrie!N18</f>
        <v>21.291223969685262</v>
      </c>
      <c r="P13" s="682">
        <f>industrie!O18</f>
        <v>0</v>
      </c>
      <c r="Q13" s="683">
        <f>industrie!P18</f>
        <v>0</v>
      </c>
      <c r="R13" s="685">
        <f>SUM(C13:Q13)</f>
        <v>1500.0070710642294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37188.79861660437</v>
      </c>
      <c r="D16" s="718">
        <f t="shared" ref="D16:R16" ca="1" si="0">SUM(D9:D15)</f>
        <v>15075</v>
      </c>
      <c r="E16" s="718">
        <f t="shared" ca="1" si="0"/>
        <v>22002.552632403</v>
      </c>
      <c r="F16" s="718">
        <f t="shared" si="0"/>
        <v>1560.5043008221232</v>
      </c>
      <c r="G16" s="718">
        <f t="shared" ca="1" si="0"/>
        <v>36601.68327196606</v>
      </c>
      <c r="H16" s="718">
        <f t="shared" si="0"/>
        <v>0</v>
      </c>
      <c r="I16" s="718">
        <f t="shared" si="0"/>
        <v>0</v>
      </c>
      <c r="J16" s="718">
        <f t="shared" si="0"/>
        <v>0</v>
      </c>
      <c r="K16" s="718">
        <f t="shared" si="0"/>
        <v>171.41747463636676</v>
      </c>
      <c r="L16" s="718">
        <f t="shared" si="0"/>
        <v>0</v>
      </c>
      <c r="M16" s="718">
        <f t="shared" ca="1" si="0"/>
        <v>0</v>
      </c>
      <c r="N16" s="718">
        <f t="shared" si="0"/>
        <v>0</v>
      </c>
      <c r="O16" s="718">
        <f t="shared" ca="1" si="0"/>
        <v>5361.5908161446641</v>
      </c>
      <c r="P16" s="718">
        <f t="shared" si="0"/>
        <v>188.47603084176802</v>
      </c>
      <c r="Q16" s="718">
        <f t="shared" si="0"/>
        <v>484.43146992158097</v>
      </c>
      <c r="R16" s="718">
        <f t="shared" ca="1" si="0"/>
        <v>118634.45461333994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13.612198190199704</v>
      </c>
      <c r="D19" s="682">
        <f>transport!C54</f>
        <v>0</v>
      </c>
      <c r="E19" s="682">
        <f>transport!D54</f>
        <v>0</v>
      </c>
      <c r="F19" s="682">
        <f>transport!E54</f>
        <v>0</v>
      </c>
      <c r="G19" s="682">
        <f>transport!F54</f>
        <v>0</v>
      </c>
      <c r="H19" s="682">
        <f>transport!G54</f>
        <v>971.61416726504035</v>
      </c>
      <c r="I19" s="682">
        <f>transport!H54</f>
        <v>0</v>
      </c>
      <c r="J19" s="682">
        <f>transport!I54</f>
        <v>0</v>
      </c>
      <c r="K19" s="682">
        <f>transport!J54</f>
        <v>0</v>
      </c>
      <c r="L19" s="682">
        <f>transport!K54</f>
        <v>0</v>
      </c>
      <c r="M19" s="682">
        <f>transport!L54</f>
        <v>0</v>
      </c>
      <c r="N19" s="682">
        <f>transport!M54</f>
        <v>53.651168078711457</v>
      </c>
      <c r="O19" s="682">
        <f>transport!N54</f>
        <v>0</v>
      </c>
      <c r="P19" s="682">
        <f>transport!O54</f>
        <v>0</v>
      </c>
      <c r="Q19" s="683">
        <f>transport!P54</f>
        <v>0</v>
      </c>
      <c r="R19" s="685">
        <f>SUM(C19:Q19)</f>
        <v>1038.8775335339515</v>
      </c>
      <c r="S19" s="67"/>
    </row>
    <row r="20" spans="1:19" s="445" customFormat="1">
      <c r="A20" s="803" t="s">
        <v>302</v>
      </c>
      <c r="B20" s="808"/>
      <c r="C20" s="682">
        <f>transport!B14</f>
        <v>71.161509610376086</v>
      </c>
      <c r="D20" s="682">
        <f>transport!C14</f>
        <v>0</v>
      </c>
      <c r="E20" s="682">
        <f>transport!D14</f>
        <v>144.64798885862436</v>
      </c>
      <c r="F20" s="682">
        <f>transport!E14</f>
        <v>78.179466193958589</v>
      </c>
      <c r="G20" s="682">
        <f>transport!F14</f>
        <v>0</v>
      </c>
      <c r="H20" s="682">
        <f>transport!G14</f>
        <v>28845.614946141388</v>
      </c>
      <c r="I20" s="682">
        <f>transport!H14</f>
        <v>8741.267244915849</v>
      </c>
      <c r="J20" s="682">
        <f>transport!I14</f>
        <v>0</v>
      </c>
      <c r="K20" s="682">
        <f>transport!J14</f>
        <v>0</v>
      </c>
      <c r="L20" s="682">
        <f>transport!K14</f>
        <v>0</v>
      </c>
      <c r="M20" s="682">
        <f>transport!L14</f>
        <v>0</v>
      </c>
      <c r="N20" s="682">
        <f>transport!M14</f>
        <v>2231.7138726168391</v>
      </c>
      <c r="O20" s="682">
        <f>transport!N14</f>
        <v>0</v>
      </c>
      <c r="P20" s="682">
        <f>transport!O14</f>
        <v>0</v>
      </c>
      <c r="Q20" s="683">
        <f>transport!P14</f>
        <v>0</v>
      </c>
      <c r="R20" s="685">
        <f>SUM(C20:Q20)</f>
        <v>40112.585028337038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84.773707800575792</v>
      </c>
      <c r="D22" s="806">
        <f t="shared" ref="D22:R22" si="1">SUM(D18:D21)</f>
        <v>0</v>
      </c>
      <c r="E22" s="806">
        <f t="shared" si="1"/>
        <v>144.64798885862436</v>
      </c>
      <c r="F22" s="806">
        <f t="shared" si="1"/>
        <v>78.179466193958589</v>
      </c>
      <c r="G22" s="806">
        <f t="shared" si="1"/>
        <v>0</v>
      </c>
      <c r="H22" s="806">
        <f t="shared" si="1"/>
        <v>29817.229113406429</v>
      </c>
      <c r="I22" s="806">
        <f t="shared" si="1"/>
        <v>8741.267244915849</v>
      </c>
      <c r="J22" s="806">
        <f t="shared" si="1"/>
        <v>0</v>
      </c>
      <c r="K22" s="806">
        <f t="shared" si="1"/>
        <v>0</v>
      </c>
      <c r="L22" s="806">
        <f t="shared" si="1"/>
        <v>0</v>
      </c>
      <c r="M22" s="806">
        <f t="shared" si="1"/>
        <v>0</v>
      </c>
      <c r="N22" s="806">
        <f t="shared" si="1"/>
        <v>2285.3650406955508</v>
      </c>
      <c r="O22" s="806">
        <f t="shared" si="1"/>
        <v>0</v>
      </c>
      <c r="P22" s="806">
        <f t="shared" si="1"/>
        <v>0</v>
      </c>
      <c r="Q22" s="806">
        <f t="shared" si="1"/>
        <v>0</v>
      </c>
      <c r="R22" s="806">
        <f t="shared" si="1"/>
        <v>41151.462561870991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2386.3431060000003</v>
      </c>
      <c r="D24" s="682">
        <f>+landbouw!C8</f>
        <v>0</v>
      </c>
      <c r="E24" s="682">
        <f>+landbouw!D8</f>
        <v>251.43128207399999</v>
      </c>
      <c r="F24" s="682">
        <f>+landbouw!E8</f>
        <v>88.994033725599778</v>
      </c>
      <c r="G24" s="682">
        <f>+landbouw!F8</f>
        <v>7742.2191551375963</v>
      </c>
      <c r="H24" s="682">
        <f>+landbouw!G8</f>
        <v>0</v>
      </c>
      <c r="I24" s="682">
        <f>+landbouw!H8</f>
        <v>0</v>
      </c>
      <c r="J24" s="682">
        <f>+landbouw!I8</f>
        <v>0</v>
      </c>
      <c r="K24" s="682">
        <f>+landbouw!J8</f>
        <v>626.42684647930309</v>
      </c>
      <c r="L24" s="682">
        <f>+landbouw!K8</f>
        <v>0</v>
      </c>
      <c r="M24" s="682">
        <f>+landbouw!L8</f>
        <v>0</v>
      </c>
      <c r="N24" s="682">
        <f>+landbouw!M8</f>
        <v>0</v>
      </c>
      <c r="O24" s="682">
        <f>+landbouw!N8</f>
        <v>0</v>
      </c>
      <c r="P24" s="682">
        <f>+landbouw!O8</f>
        <v>0</v>
      </c>
      <c r="Q24" s="683">
        <f>+landbouw!P8</f>
        <v>0</v>
      </c>
      <c r="R24" s="685">
        <f>SUM(C24:Q24)</f>
        <v>11095.4144234165</v>
      </c>
      <c r="S24" s="67"/>
    </row>
    <row r="25" spans="1:19" s="445" customFormat="1" ht="15" thickBot="1">
      <c r="A25" s="825" t="s">
        <v>703</v>
      </c>
      <c r="B25" s="938"/>
      <c r="C25" s="939">
        <f>IF(Onbekend_ele_kWh="---",0,Onbekend_ele_kWh)/1000+IF(REST_rest_ele_kWh="---",0,REST_rest_ele_kWh)/1000</f>
        <v>327.58500300000003</v>
      </c>
      <c r="D25" s="939"/>
      <c r="E25" s="939">
        <f>IF(onbekend_gas_kWh="---",0,onbekend_gas_kWh)/1000+IF(REST_rest_gas_kWh="---",0,REST_rest_gas_kWh)/1000</f>
        <v>1121.915164</v>
      </c>
      <c r="F25" s="939"/>
      <c r="G25" s="939"/>
      <c r="H25" s="939"/>
      <c r="I25" s="939"/>
      <c r="J25" s="939"/>
      <c r="K25" s="939"/>
      <c r="L25" s="939"/>
      <c r="M25" s="939"/>
      <c r="N25" s="939"/>
      <c r="O25" s="939"/>
      <c r="P25" s="939"/>
      <c r="Q25" s="940"/>
      <c r="R25" s="685">
        <f>SUM(C25:Q25)</f>
        <v>1449.5001670000001</v>
      </c>
      <c r="S25" s="67"/>
    </row>
    <row r="26" spans="1:19" s="445" customFormat="1" ht="15.75" thickBot="1">
      <c r="A26" s="690" t="s">
        <v>704</v>
      </c>
      <c r="B26" s="811"/>
      <c r="C26" s="806">
        <f>SUM(C24:C25)</f>
        <v>2713.9281090000004</v>
      </c>
      <c r="D26" s="806">
        <f t="shared" ref="D26:R26" si="2">SUM(D24:D25)</f>
        <v>0</v>
      </c>
      <c r="E26" s="806">
        <f t="shared" si="2"/>
        <v>1373.3464460739999</v>
      </c>
      <c r="F26" s="806">
        <f t="shared" si="2"/>
        <v>88.994033725599778</v>
      </c>
      <c r="G26" s="806">
        <f t="shared" si="2"/>
        <v>7742.2191551375963</v>
      </c>
      <c r="H26" s="806">
        <f t="shared" si="2"/>
        <v>0</v>
      </c>
      <c r="I26" s="806">
        <f t="shared" si="2"/>
        <v>0</v>
      </c>
      <c r="J26" s="806">
        <f t="shared" si="2"/>
        <v>0</v>
      </c>
      <c r="K26" s="806">
        <f t="shared" si="2"/>
        <v>626.42684647930309</v>
      </c>
      <c r="L26" s="806">
        <f t="shared" si="2"/>
        <v>0</v>
      </c>
      <c r="M26" s="806">
        <f t="shared" si="2"/>
        <v>0</v>
      </c>
      <c r="N26" s="806">
        <f t="shared" si="2"/>
        <v>0</v>
      </c>
      <c r="O26" s="806">
        <f t="shared" si="2"/>
        <v>0</v>
      </c>
      <c r="P26" s="806">
        <f t="shared" si="2"/>
        <v>0</v>
      </c>
      <c r="Q26" s="806">
        <f t="shared" si="2"/>
        <v>0</v>
      </c>
      <c r="R26" s="806">
        <f t="shared" si="2"/>
        <v>12544.9145904165</v>
      </c>
      <c r="S26" s="67"/>
    </row>
    <row r="27" spans="1:19" s="445" customFormat="1" ht="17.25" thickTop="1" thickBot="1">
      <c r="A27" s="691" t="s">
        <v>115</v>
      </c>
      <c r="B27" s="798"/>
      <c r="C27" s="692">
        <f ca="1">C22+C16+C26</f>
        <v>39987.500433404944</v>
      </c>
      <c r="D27" s="692">
        <f t="shared" ref="D27:R27" ca="1" si="3">D22+D16+D26</f>
        <v>15075</v>
      </c>
      <c r="E27" s="692">
        <f t="shared" ca="1" si="3"/>
        <v>23520.547067335625</v>
      </c>
      <c r="F27" s="692">
        <f t="shared" si="3"/>
        <v>1727.6778007416817</v>
      </c>
      <c r="G27" s="692">
        <f t="shared" ca="1" si="3"/>
        <v>44343.902427103654</v>
      </c>
      <c r="H27" s="692">
        <f t="shared" si="3"/>
        <v>29817.229113406429</v>
      </c>
      <c r="I27" s="692">
        <f t="shared" si="3"/>
        <v>8741.267244915849</v>
      </c>
      <c r="J27" s="692">
        <f t="shared" si="3"/>
        <v>0</v>
      </c>
      <c r="K27" s="692">
        <f t="shared" si="3"/>
        <v>797.8443211156698</v>
      </c>
      <c r="L27" s="692">
        <f t="shared" si="3"/>
        <v>0</v>
      </c>
      <c r="M27" s="692">
        <f t="shared" ca="1" si="3"/>
        <v>0</v>
      </c>
      <c r="N27" s="692">
        <f t="shared" si="3"/>
        <v>2285.3650406955508</v>
      </c>
      <c r="O27" s="692">
        <f t="shared" ca="1" si="3"/>
        <v>5361.5908161446641</v>
      </c>
      <c r="P27" s="692">
        <f t="shared" si="3"/>
        <v>188.47603084176802</v>
      </c>
      <c r="Q27" s="692">
        <f t="shared" si="3"/>
        <v>484.43146992158097</v>
      </c>
      <c r="R27" s="692">
        <f t="shared" ca="1" si="3"/>
        <v>172330.83176562743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2857.0975181788785</v>
      </c>
      <c r="D40" s="682">
        <f ca="1">tertiair!C20</f>
        <v>0</v>
      </c>
      <c r="E40" s="682">
        <f ca="1">tertiair!D20</f>
        <v>1024.5602433229799</v>
      </c>
      <c r="F40" s="682">
        <f>tertiair!E20</f>
        <v>11.542719512852077</v>
      </c>
      <c r="G40" s="682">
        <f ca="1">tertiair!F20</f>
        <v>563.84980413942651</v>
      </c>
      <c r="H40" s="682">
        <f>tertiair!G20</f>
        <v>0</v>
      </c>
      <c r="I40" s="682">
        <f>tertiair!H20</f>
        <v>0</v>
      </c>
      <c r="J40" s="682">
        <f>tertiair!I20</f>
        <v>0</v>
      </c>
      <c r="K40" s="682">
        <f>tertiair!J20</f>
        <v>7.8847085846752239E-3</v>
      </c>
      <c r="L40" s="682">
        <f>tertiair!K20</f>
        <v>0</v>
      </c>
      <c r="M40" s="682">
        <f ca="1">tertiair!L20</f>
        <v>0</v>
      </c>
      <c r="N40" s="682">
        <f>tertiair!M20</f>
        <v>0</v>
      </c>
      <c r="O40" s="682">
        <f ca="1">tertiair!N20</f>
        <v>0</v>
      </c>
      <c r="P40" s="682">
        <f>tertiair!O20</f>
        <v>0</v>
      </c>
      <c r="Q40" s="765">
        <f>tertiair!P20</f>
        <v>0</v>
      </c>
      <c r="R40" s="844">
        <f t="shared" ca="1" si="4"/>
        <v>4457.058169862722</v>
      </c>
    </row>
    <row r="41" spans="1:18">
      <c r="A41" s="816" t="s">
        <v>220</v>
      </c>
      <c r="B41" s="823"/>
      <c r="C41" s="682">
        <f ca="1">huishoudens!B12</f>
        <v>2002.6792495707557</v>
      </c>
      <c r="D41" s="682">
        <f ca="1">huishoudens!C12</f>
        <v>0</v>
      </c>
      <c r="E41" s="682">
        <f>huishoudens!D12</f>
        <v>3294.0899717816587</v>
      </c>
      <c r="F41" s="682">
        <f>huishoudens!E12</f>
        <v>342.23649526605368</v>
      </c>
      <c r="G41" s="682">
        <f>huishoudens!F12</f>
        <v>9143.3019570754204</v>
      </c>
      <c r="H41" s="682">
        <f>huishoudens!G12</f>
        <v>0</v>
      </c>
      <c r="I41" s="682">
        <f>huishoudens!H12</f>
        <v>0</v>
      </c>
      <c r="J41" s="682">
        <f>huishoudens!I12</f>
        <v>0</v>
      </c>
      <c r="K41" s="682">
        <f>huishoudens!J12</f>
        <v>60.647223040591925</v>
      </c>
      <c r="L41" s="682">
        <f>huishoudens!K12</f>
        <v>0</v>
      </c>
      <c r="M41" s="682">
        <f>huishoudens!L12</f>
        <v>0</v>
      </c>
      <c r="N41" s="682">
        <f>huishoudens!M12</f>
        <v>0</v>
      </c>
      <c r="O41" s="682">
        <f>huishoudens!N12</f>
        <v>0</v>
      </c>
      <c r="P41" s="682">
        <f>huishoudens!O12</f>
        <v>0</v>
      </c>
      <c r="Q41" s="765">
        <f>huishoudens!P12</f>
        <v>0</v>
      </c>
      <c r="R41" s="844">
        <f t="shared" ca="1" si="4"/>
        <v>14842.954896734482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80.804045412382294</v>
      </c>
      <c r="D43" s="682">
        <f ca="1">industrie!C22</f>
        <v>0</v>
      </c>
      <c r="E43" s="682">
        <f>industrie!D22</f>
        <v>125.86541664076798</v>
      </c>
      <c r="F43" s="682">
        <f>industrie!E22</f>
        <v>0.45526150771622381</v>
      </c>
      <c r="G43" s="682">
        <f>industrie!F22</f>
        <v>65.497672400091801</v>
      </c>
      <c r="H43" s="682">
        <f>industrie!G22</f>
        <v>0</v>
      </c>
      <c r="I43" s="682">
        <f>industrie!H22</f>
        <v>0</v>
      </c>
      <c r="J43" s="682">
        <f>industrie!I22</f>
        <v>0</v>
      </c>
      <c r="K43" s="682">
        <f>industrie!J22</f>
        <v>2.6678272097231049E-2</v>
      </c>
      <c r="L43" s="682">
        <f>industrie!K22</f>
        <v>0</v>
      </c>
      <c r="M43" s="682">
        <f>industrie!L22</f>
        <v>0</v>
      </c>
      <c r="N43" s="682">
        <f>industrie!M22</f>
        <v>0</v>
      </c>
      <c r="O43" s="682">
        <f>industrie!N22</f>
        <v>0</v>
      </c>
      <c r="P43" s="682">
        <f>industrie!O22</f>
        <v>0</v>
      </c>
      <c r="Q43" s="765">
        <f>industrie!P22</f>
        <v>0</v>
      </c>
      <c r="R43" s="843">
        <f t="shared" ca="1" si="4"/>
        <v>272.6490742330555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4940.5808131620161</v>
      </c>
      <c r="D46" s="718">
        <f t="shared" ref="D46:Q46" ca="1" si="5">SUM(D39:D45)</f>
        <v>0</v>
      </c>
      <c r="E46" s="718">
        <f t="shared" ca="1" si="5"/>
        <v>4444.5156317454066</v>
      </c>
      <c r="F46" s="718">
        <f t="shared" si="5"/>
        <v>354.234476286622</v>
      </c>
      <c r="G46" s="718">
        <f t="shared" ca="1" si="5"/>
        <v>9772.649433614939</v>
      </c>
      <c r="H46" s="718">
        <f t="shared" si="5"/>
        <v>0</v>
      </c>
      <c r="I46" s="718">
        <f t="shared" si="5"/>
        <v>0</v>
      </c>
      <c r="J46" s="718">
        <f t="shared" si="5"/>
        <v>0</v>
      </c>
      <c r="K46" s="718">
        <f t="shared" si="5"/>
        <v>60.68178602127383</v>
      </c>
      <c r="L46" s="718">
        <f t="shared" si="5"/>
        <v>0</v>
      </c>
      <c r="M46" s="718">
        <f t="shared" ca="1" si="5"/>
        <v>0</v>
      </c>
      <c r="N46" s="718">
        <f t="shared" si="5"/>
        <v>0</v>
      </c>
      <c r="O46" s="718">
        <f t="shared" ca="1" si="5"/>
        <v>0</v>
      </c>
      <c r="P46" s="718">
        <f t="shared" si="5"/>
        <v>0</v>
      </c>
      <c r="Q46" s="718">
        <f t="shared" si="5"/>
        <v>0</v>
      </c>
      <c r="R46" s="718">
        <f ca="1">SUM(R39:R45)</f>
        <v>19572.66214083026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1.8083984346144506</v>
      </c>
      <c r="D49" s="682">
        <f ca="1">transport!C58</f>
        <v>0</v>
      </c>
      <c r="E49" s="682">
        <f>transport!D58</f>
        <v>0</v>
      </c>
      <c r="F49" s="682">
        <f>transport!E58</f>
        <v>0</v>
      </c>
      <c r="G49" s="682">
        <f>transport!F58</f>
        <v>0</v>
      </c>
      <c r="H49" s="682">
        <f>transport!G58</f>
        <v>259.4209826597658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261.22938109438024</v>
      </c>
    </row>
    <row r="50" spans="1:18">
      <c r="A50" s="819" t="s">
        <v>302</v>
      </c>
      <c r="B50" s="829"/>
      <c r="C50" s="688">
        <f ca="1">transport!B18</f>
        <v>9.4539001552927946</v>
      </c>
      <c r="D50" s="688">
        <f>transport!C18</f>
        <v>0</v>
      </c>
      <c r="E50" s="688">
        <f>transport!D18</f>
        <v>29.218893749442124</v>
      </c>
      <c r="F50" s="688">
        <f>transport!E18</f>
        <v>17.746738826028601</v>
      </c>
      <c r="G50" s="688">
        <f>transport!F18</f>
        <v>0</v>
      </c>
      <c r="H50" s="688">
        <f>transport!G18</f>
        <v>7701.7791906197508</v>
      </c>
      <c r="I50" s="688">
        <f>transport!H18</f>
        <v>2176.5755439840464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9934.7742673345601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11.262298589907246</v>
      </c>
      <c r="D52" s="718">
        <f t="shared" ref="D52:Q52" ca="1" si="6">SUM(D48:D51)</f>
        <v>0</v>
      </c>
      <c r="E52" s="718">
        <f t="shared" si="6"/>
        <v>29.218893749442124</v>
      </c>
      <c r="F52" s="718">
        <f t="shared" si="6"/>
        <v>17.746738826028601</v>
      </c>
      <c r="G52" s="718">
        <f t="shared" si="6"/>
        <v>0</v>
      </c>
      <c r="H52" s="718">
        <f t="shared" si="6"/>
        <v>7961.200173279517</v>
      </c>
      <c r="I52" s="718">
        <f t="shared" si="6"/>
        <v>2176.5755439840464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10196.003648428941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317.028820550847</v>
      </c>
      <c r="D54" s="688">
        <f ca="1">+landbouw!C12</f>
        <v>0</v>
      </c>
      <c r="E54" s="688">
        <f>+landbouw!D12</f>
        <v>50.789118978948004</v>
      </c>
      <c r="F54" s="688">
        <f>+landbouw!E12</f>
        <v>20.20164565571115</v>
      </c>
      <c r="G54" s="688">
        <f>+landbouw!F12</f>
        <v>2067.1725144217385</v>
      </c>
      <c r="H54" s="688">
        <f>+landbouw!G12</f>
        <v>0</v>
      </c>
      <c r="I54" s="688">
        <f>+landbouw!H12</f>
        <v>0</v>
      </c>
      <c r="J54" s="688">
        <f>+landbouw!I12</f>
        <v>0</v>
      </c>
      <c r="K54" s="688">
        <f>+landbouw!J12</f>
        <v>221.75510365367327</v>
      </c>
      <c r="L54" s="688">
        <f>+landbouw!K12</f>
        <v>0</v>
      </c>
      <c r="M54" s="688">
        <f>+landbouw!L12</f>
        <v>0</v>
      </c>
      <c r="N54" s="688">
        <f>+landbouw!M12</f>
        <v>0</v>
      </c>
      <c r="O54" s="688">
        <f>+landbouw!N12</f>
        <v>0</v>
      </c>
      <c r="P54" s="688">
        <f>+landbouw!O12</f>
        <v>0</v>
      </c>
      <c r="Q54" s="689">
        <f>+landbouw!P12</f>
        <v>0</v>
      </c>
      <c r="R54" s="717">
        <f ca="1">SUM(C54:Q54)</f>
        <v>2676.9472032609178</v>
      </c>
    </row>
    <row r="55" spans="1:18" ht="15" thickBot="1">
      <c r="A55" s="819" t="s">
        <v>703</v>
      </c>
      <c r="B55" s="829"/>
      <c r="C55" s="688">
        <f ca="1">C25*'EF ele_warmte'!B12</f>
        <v>43.520098543296257</v>
      </c>
      <c r="D55" s="688"/>
      <c r="E55" s="688">
        <f>E25*EF_CO2_aardgas</f>
        <v>226.62686312800002</v>
      </c>
      <c r="F55" s="688"/>
      <c r="G55" s="688"/>
      <c r="H55" s="688"/>
      <c r="I55" s="688"/>
      <c r="J55" s="688"/>
      <c r="K55" s="688"/>
      <c r="L55" s="688"/>
      <c r="M55" s="688"/>
      <c r="N55" s="688"/>
      <c r="O55" s="688"/>
      <c r="P55" s="688"/>
      <c r="Q55" s="689"/>
      <c r="R55" s="717">
        <f ca="1">SUM(C55:Q55)</f>
        <v>270.14696167129625</v>
      </c>
    </row>
    <row r="56" spans="1:18" ht="15.75" thickBot="1">
      <c r="A56" s="817" t="s">
        <v>704</v>
      </c>
      <c r="B56" s="830"/>
      <c r="C56" s="718">
        <f ca="1">SUM(C54:C55)</f>
        <v>360.54891909414323</v>
      </c>
      <c r="D56" s="718">
        <f t="shared" ref="D56:Q56" ca="1" si="7">SUM(D54:D55)</f>
        <v>0</v>
      </c>
      <c r="E56" s="718">
        <f t="shared" si="7"/>
        <v>277.41598210694804</v>
      </c>
      <c r="F56" s="718">
        <f t="shared" si="7"/>
        <v>20.20164565571115</v>
      </c>
      <c r="G56" s="718">
        <f t="shared" si="7"/>
        <v>2067.1725144217385</v>
      </c>
      <c r="H56" s="718">
        <f t="shared" si="7"/>
        <v>0</v>
      </c>
      <c r="I56" s="718">
        <f t="shared" si="7"/>
        <v>0</v>
      </c>
      <c r="J56" s="718">
        <f t="shared" si="7"/>
        <v>0</v>
      </c>
      <c r="K56" s="718">
        <f t="shared" si="7"/>
        <v>221.75510365367327</v>
      </c>
      <c r="L56" s="718">
        <f t="shared" si="7"/>
        <v>0</v>
      </c>
      <c r="M56" s="718">
        <f t="shared" si="7"/>
        <v>0</v>
      </c>
      <c r="N56" s="718">
        <f t="shared" si="7"/>
        <v>0</v>
      </c>
      <c r="O56" s="718">
        <f t="shared" si="7"/>
        <v>0</v>
      </c>
      <c r="P56" s="718">
        <f t="shared" si="7"/>
        <v>0</v>
      </c>
      <c r="Q56" s="719">
        <f t="shared" si="7"/>
        <v>0</v>
      </c>
      <c r="R56" s="720">
        <f ca="1">SUM(R54:R55)</f>
        <v>2947.094164932214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5312.3920308460665</v>
      </c>
      <c r="D61" s="726">
        <f t="shared" ref="D61:Q61" ca="1" si="8">D46+D52+D56</f>
        <v>0</v>
      </c>
      <c r="E61" s="726">
        <f t="shared" ca="1" si="8"/>
        <v>4751.1505076017966</v>
      </c>
      <c r="F61" s="726">
        <f t="shared" si="8"/>
        <v>392.18286076836176</v>
      </c>
      <c r="G61" s="726">
        <f t="shared" ca="1" si="8"/>
        <v>11839.821948036677</v>
      </c>
      <c r="H61" s="726">
        <f t="shared" si="8"/>
        <v>7961.200173279517</v>
      </c>
      <c r="I61" s="726">
        <f t="shared" si="8"/>
        <v>2176.5755439840464</v>
      </c>
      <c r="J61" s="726">
        <f t="shared" si="8"/>
        <v>0</v>
      </c>
      <c r="K61" s="726">
        <f t="shared" si="8"/>
        <v>282.43688967494711</v>
      </c>
      <c r="L61" s="726">
        <f t="shared" si="8"/>
        <v>0</v>
      </c>
      <c r="M61" s="726">
        <f t="shared" ca="1" si="8"/>
        <v>0</v>
      </c>
      <c r="N61" s="726">
        <f t="shared" si="8"/>
        <v>0</v>
      </c>
      <c r="O61" s="726">
        <f t="shared" ca="1" si="8"/>
        <v>0</v>
      </c>
      <c r="P61" s="726">
        <f t="shared" si="8"/>
        <v>0</v>
      </c>
      <c r="Q61" s="726">
        <f t="shared" si="8"/>
        <v>0</v>
      </c>
      <c r="R61" s="726">
        <f ca="1">R46+R52+R56</f>
        <v>32715.759954191417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0.13285131536774367</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5397.0274431512489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10552.5</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12414.705882352942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15949.527443151248</v>
      </c>
      <c r="C78" s="744">
        <f>SUM(C72:C77)</f>
        <v>0</v>
      </c>
      <c r="D78" s="745">
        <f t="shared" ref="D78:H78" si="10">SUM(D76:D77)</f>
        <v>0</v>
      </c>
      <c r="E78" s="745">
        <f t="shared" si="10"/>
        <v>0</v>
      </c>
      <c r="F78" s="745">
        <f t="shared" si="10"/>
        <v>0</v>
      </c>
      <c r="G78" s="745">
        <f t="shared" si="10"/>
        <v>0</v>
      </c>
      <c r="H78" s="745">
        <f t="shared" si="10"/>
        <v>0</v>
      </c>
      <c r="I78" s="745">
        <f>SUM(I76:I77)</f>
        <v>0</v>
      </c>
      <c r="J78" s="745">
        <f>SUM(J76:J77)</f>
        <v>12414.705882352942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15075</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17735.294117647063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15075</v>
      </c>
      <c r="C90" s="744">
        <f>SUM(C87:C89)</f>
        <v>0</v>
      </c>
      <c r="D90" s="744">
        <f t="shared" ref="D90:H90" si="12">SUM(D87:D89)</f>
        <v>0</v>
      </c>
      <c r="E90" s="744">
        <f t="shared" si="12"/>
        <v>0</v>
      </c>
      <c r="F90" s="744">
        <f t="shared" si="12"/>
        <v>0</v>
      </c>
      <c r="G90" s="744">
        <f t="shared" si="12"/>
        <v>0</v>
      </c>
      <c r="H90" s="744">
        <f t="shared" si="12"/>
        <v>0</v>
      </c>
      <c r="I90" s="744">
        <f>SUM(I87:I89)</f>
        <v>0</v>
      </c>
      <c r="J90" s="744">
        <f>SUM(J87:J89)</f>
        <v>17735.294117647063</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15074.591049604367</v>
      </c>
      <c r="C4" s="449">
        <f>huishoudens!C8</f>
        <v>0</v>
      </c>
      <c r="D4" s="449">
        <f>huishoudens!D8</f>
        <v>16307.376097929002</v>
      </c>
      <c r="E4" s="449">
        <f>huishoudens!E8</f>
        <v>1507.6497588812938</v>
      </c>
      <c r="F4" s="449">
        <f>huishoudens!F8</f>
        <v>34244.576618259998</v>
      </c>
      <c r="G4" s="449">
        <f>huishoudens!G8</f>
        <v>0</v>
      </c>
      <c r="H4" s="449">
        <f>huishoudens!H8</f>
        <v>0</v>
      </c>
      <c r="I4" s="449">
        <f>huishoudens!I8</f>
        <v>0</v>
      </c>
      <c r="J4" s="449">
        <f>huishoudens!J8</f>
        <v>171.31983909771731</v>
      </c>
      <c r="K4" s="449">
        <f>huishoudens!K8</f>
        <v>0</v>
      </c>
      <c r="L4" s="449">
        <f>huishoudens!L8</f>
        <v>0</v>
      </c>
      <c r="M4" s="449">
        <f>huishoudens!M8</f>
        <v>0</v>
      </c>
      <c r="N4" s="449">
        <f>huishoudens!N8</f>
        <v>5340.2995921749789</v>
      </c>
      <c r="O4" s="449">
        <f>huishoudens!O8</f>
        <v>188.47603084176802</v>
      </c>
      <c r="P4" s="450">
        <f>huishoudens!P8</f>
        <v>431.89233161508594</v>
      </c>
      <c r="Q4" s="451">
        <f>SUM(B4:P4)</f>
        <v>73266.181318404211</v>
      </c>
    </row>
    <row r="5" spans="1:17">
      <c r="A5" s="448" t="s">
        <v>155</v>
      </c>
      <c r="B5" s="449">
        <f ca="1">tertiair!B16</f>
        <v>20933.519396000003</v>
      </c>
      <c r="C5" s="449">
        <f ca="1">tertiair!C16</f>
        <v>15075</v>
      </c>
      <c r="D5" s="449">
        <f ca="1">tertiair!D16</f>
        <v>5072.0804124899996</v>
      </c>
      <c r="E5" s="449">
        <f>tertiair!E16</f>
        <v>50.848984638114878</v>
      </c>
      <c r="F5" s="449">
        <f ca="1">tertiair!F16</f>
        <v>2111.7970192487883</v>
      </c>
      <c r="G5" s="449">
        <f>tertiair!G16</f>
        <v>0</v>
      </c>
      <c r="H5" s="449">
        <f>tertiair!H16</f>
        <v>0</v>
      </c>
      <c r="I5" s="449">
        <f>tertiair!I16</f>
        <v>0</v>
      </c>
      <c r="J5" s="449">
        <f>tertiair!J16</f>
        <v>2.2273188092302894E-2</v>
      </c>
      <c r="K5" s="449">
        <f>tertiair!K16</f>
        <v>0</v>
      </c>
      <c r="L5" s="449">
        <f ca="1">tertiair!L16</f>
        <v>0</v>
      </c>
      <c r="M5" s="449">
        <f>tertiair!M16</f>
        <v>0</v>
      </c>
      <c r="N5" s="449">
        <f ca="1">tertiair!N16</f>
        <v>0</v>
      </c>
      <c r="O5" s="449">
        <f>tertiair!O16</f>
        <v>0</v>
      </c>
      <c r="P5" s="450">
        <f>tertiair!P16</f>
        <v>52.539138306495019</v>
      </c>
      <c r="Q5" s="448">
        <f t="shared" ref="Q5:Q14" ca="1" si="0">SUM(B5:P5)</f>
        <v>43295.807223871489</v>
      </c>
    </row>
    <row r="6" spans="1:17">
      <c r="A6" s="448" t="s">
        <v>193</v>
      </c>
      <c r="B6" s="449">
        <f>'openbare verlichting'!B8</f>
        <v>572.45899999999995</v>
      </c>
      <c r="C6" s="449"/>
      <c r="D6" s="449"/>
      <c r="E6" s="449"/>
      <c r="F6" s="449"/>
      <c r="G6" s="449"/>
      <c r="H6" s="449"/>
      <c r="I6" s="449"/>
      <c r="J6" s="449"/>
      <c r="K6" s="449"/>
      <c r="L6" s="449"/>
      <c r="M6" s="449"/>
      <c r="N6" s="449"/>
      <c r="O6" s="449"/>
      <c r="P6" s="450"/>
      <c r="Q6" s="448">
        <f t="shared" si="0"/>
        <v>572.45899999999995</v>
      </c>
    </row>
    <row r="7" spans="1:17">
      <c r="A7" s="448" t="s">
        <v>111</v>
      </c>
      <c r="B7" s="449">
        <f>landbouw!B8</f>
        <v>2386.3431060000003</v>
      </c>
      <c r="C7" s="449">
        <f>landbouw!C8</f>
        <v>0</v>
      </c>
      <c r="D7" s="449">
        <f>landbouw!D8</f>
        <v>251.43128207399999</v>
      </c>
      <c r="E7" s="449">
        <f>landbouw!E8</f>
        <v>88.994033725599778</v>
      </c>
      <c r="F7" s="449">
        <f>landbouw!F8</f>
        <v>7742.2191551375963</v>
      </c>
      <c r="G7" s="449">
        <f>landbouw!G8</f>
        <v>0</v>
      </c>
      <c r="H7" s="449">
        <f>landbouw!H8</f>
        <v>0</v>
      </c>
      <c r="I7" s="449">
        <f>landbouw!I8</f>
        <v>0</v>
      </c>
      <c r="J7" s="449">
        <f>landbouw!J8</f>
        <v>626.42684647930309</v>
      </c>
      <c r="K7" s="449">
        <f>landbouw!K8</f>
        <v>0</v>
      </c>
      <c r="L7" s="449">
        <f>landbouw!L8</f>
        <v>0</v>
      </c>
      <c r="M7" s="449">
        <f>landbouw!M8</f>
        <v>0</v>
      </c>
      <c r="N7" s="449">
        <f>landbouw!N8</f>
        <v>0</v>
      </c>
      <c r="O7" s="449">
        <f>landbouw!O8</f>
        <v>0</v>
      </c>
      <c r="P7" s="450">
        <f>landbouw!P8</f>
        <v>0</v>
      </c>
      <c r="Q7" s="448">
        <f t="shared" si="0"/>
        <v>11095.4144234165</v>
      </c>
    </row>
    <row r="8" spans="1:17">
      <c r="A8" s="448" t="s">
        <v>618</v>
      </c>
      <c r="B8" s="449">
        <f>industrie!B18</f>
        <v>608.22917100000006</v>
      </c>
      <c r="C8" s="449">
        <f>industrie!C18</f>
        <v>0</v>
      </c>
      <c r="D8" s="449">
        <f>industrie!D18</f>
        <v>623.09612198399986</v>
      </c>
      <c r="E8" s="449">
        <f>industrie!E18</f>
        <v>2.0055573027146423</v>
      </c>
      <c r="F8" s="449">
        <f>industrie!F18</f>
        <v>245.30963445727264</v>
      </c>
      <c r="G8" s="449">
        <f>industrie!G18</f>
        <v>0</v>
      </c>
      <c r="H8" s="449">
        <f>industrie!H18</f>
        <v>0</v>
      </c>
      <c r="I8" s="449">
        <f>industrie!I18</f>
        <v>0</v>
      </c>
      <c r="J8" s="449">
        <f>industrie!J18</f>
        <v>7.5362350557149863E-2</v>
      </c>
      <c r="K8" s="449">
        <f>industrie!K18</f>
        <v>0</v>
      </c>
      <c r="L8" s="449">
        <f>industrie!L18</f>
        <v>0</v>
      </c>
      <c r="M8" s="449">
        <f>industrie!M18</f>
        <v>0</v>
      </c>
      <c r="N8" s="449">
        <f>industrie!N18</f>
        <v>21.291223969685262</v>
      </c>
      <c r="O8" s="449">
        <f>industrie!O18</f>
        <v>0</v>
      </c>
      <c r="P8" s="450">
        <f>industrie!P18</f>
        <v>0</v>
      </c>
      <c r="Q8" s="448">
        <f t="shared" si="0"/>
        <v>1500.0070710642294</v>
      </c>
    </row>
    <row r="9" spans="1:17" s="454" customFormat="1">
      <c r="A9" s="452" t="s">
        <v>544</v>
      </c>
      <c r="B9" s="453">
        <f>transport!B14</f>
        <v>71.161509610376086</v>
      </c>
      <c r="C9" s="453">
        <f>transport!C14</f>
        <v>0</v>
      </c>
      <c r="D9" s="453">
        <f>transport!D14</f>
        <v>144.64798885862436</v>
      </c>
      <c r="E9" s="453">
        <f>transport!E14</f>
        <v>78.179466193958589</v>
      </c>
      <c r="F9" s="453">
        <f>transport!F14</f>
        <v>0</v>
      </c>
      <c r="G9" s="453">
        <f>transport!G14</f>
        <v>28845.614946141388</v>
      </c>
      <c r="H9" s="453">
        <f>transport!H14</f>
        <v>8741.267244915849</v>
      </c>
      <c r="I9" s="453">
        <f>transport!I14</f>
        <v>0</v>
      </c>
      <c r="J9" s="453">
        <f>transport!J14</f>
        <v>0</v>
      </c>
      <c r="K9" s="453">
        <f>transport!K14</f>
        <v>0</v>
      </c>
      <c r="L9" s="453">
        <f>transport!L14</f>
        <v>0</v>
      </c>
      <c r="M9" s="453">
        <f>transport!M14</f>
        <v>2231.7138726168391</v>
      </c>
      <c r="N9" s="453">
        <f>transport!N14</f>
        <v>0</v>
      </c>
      <c r="O9" s="453">
        <f>transport!O14</f>
        <v>0</v>
      </c>
      <c r="P9" s="453">
        <f>transport!P14</f>
        <v>0</v>
      </c>
      <c r="Q9" s="452">
        <f>SUM(B9:P9)</f>
        <v>40112.585028337038</v>
      </c>
    </row>
    <row r="10" spans="1:17">
      <c r="A10" s="448" t="s">
        <v>534</v>
      </c>
      <c r="B10" s="449">
        <f>transport!B54</f>
        <v>13.612198190199704</v>
      </c>
      <c r="C10" s="449">
        <f>transport!C54</f>
        <v>0</v>
      </c>
      <c r="D10" s="449">
        <f>transport!D54</f>
        <v>0</v>
      </c>
      <c r="E10" s="449">
        <f>transport!E54</f>
        <v>0</v>
      </c>
      <c r="F10" s="449">
        <f>transport!F54</f>
        <v>0</v>
      </c>
      <c r="G10" s="449">
        <f>transport!G54</f>
        <v>971.61416726504035</v>
      </c>
      <c r="H10" s="449">
        <f>transport!H54</f>
        <v>0</v>
      </c>
      <c r="I10" s="449">
        <f>transport!I54</f>
        <v>0</v>
      </c>
      <c r="J10" s="449">
        <f>transport!J54</f>
        <v>0</v>
      </c>
      <c r="K10" s="449">
        <f>transport!K54</f>
        <v>0</v>
      </c>
      <c r="L10" s="449">
        <f>transport!L54</f>
        <v>0</v>
      </c>
      <c r="M10" s="449">
        <f>transport!M54</f>
        <v>53.651168078711457</v>
      </c>
      <c r="N10" s="449">
        <f>transport!N54</f>
        <v>0</v>
      </c>
      <c r="O10" s="449">
        <f>transport!O54</f>
        <v>0</v>
      </c>
      <c r="P10" s="450">
        <f>transport!P54</f>
        <v>0</v>
      </c>
      <c r="Q10" s="448">
        <f t="shared" si="0"/>
        <v>1038.8775335339515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327.58500300000003</v>
      </c>
      <c r="C14" s="456"/>
      <c r="D14" s="456">
        <f>'SEAP template'!E25</f>
        <v>1121.915164</v>
      </c>
      <c r="E14" s="456"/>
      <c r="F14" s="456"/>
      <c r="G14" s="456"/>
      <c r="H14" s="456"/>
      <c r="I14" s="456"/>
      <c r="J14" s="456"/>
      <c r="K14" s="456"/>
      <c r="L14" s="456"/>
      <c r="M14" s="456"/>
      <c r="N14" s="456"/>
      <c r="O14" s="456"/>
      <c r="P14" s="457"/>
      <c r="Q14" s="448">
        <f t="shared" si="0"/>
        <v>1449.5001670000001</v>
      </c>
    </row>
    <row r="15" spans="1:17" s="460" customFormat="1">
      <c r="A15" s="458" t="s">
        <v>538</v>
      </c>
      <c r="B15" s="459">
        <f ca="1">SUM(B4:B14)</f>
        <v>39987.500433404944</v>
      </c>
      <c r="C15" s="459">
        <f t="shared" ref="C15:Q15" ca="1" si="1">SUM(C4:C14)</f>
        <v>15075</v>
      </c>
      <c r="D15" s="459">
        <f t="shared" ca="1" si="1"/>
        <v>23520.547067335625</v>
      </c>
      <c r="E15" s="459">
        <f t="shared" si="1"/>
        <v>1727.6778007416817</v>
      </c>
      <c r="F15" s="459">
        <f t="shared" ca="1" si="1"/>
        <v>44343.902427103654</v>
      </c>
      <c r="G15" s="459">
        <f t="shared" si="1"/>
        <v>29817.229113406429</v>
      </c>
      <c r="H15" s="459">
        <f t="shared" si="1"/>
        <v>8741.267244915849</v>
      </c>
      <c r="I15" s="459">
        <f t="shared" si="1"/>
        <v>0</v>
      </c>
      <c r="J15" s="459">
        <f t="shared" si="1"/>
        <v>797.84432111566991</v>
      </c>
      <c r="K15" s="459">
        <f t="shared" si="1"/>
        <v>0</v>
      </c>
      <c r="L15" s="459">
        <f t="shared" ca="1" si="1"/>
        <v>0</v>
      </c>
      <c r="M15" s="459">
        <f t="shared" si="1"/>
        <v>2285.3650406955508</v>
      </c>
      <c r="N15" s="459">
        <f t="shared" ca="1" si="1"/>
        <v>5361.5908161446641</v>
      </c>
      <c r="O15" s="459">
        <f t="shared" si="1"/>
        <v>188.47603084176802</v>
      </c>
      <c r="P15" s="459">
        <f t="shared" si="1"/>
        <v>484.43146992158097</v>
      </c>
      <c r="Q15" s="459">
        <f t="shared" ca="1" si="1"/>
        <v>172330.83176562743</v>
      </c>
    </row>
    <row r="17" spans="1:17">
      <c r="A17" s="461" t="s">
        <v>539</v>
      </c>
      <c r="B17" s="777">
        <f ca="1">huishoudens!B10</f>
        <v>0.13285131536774367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2002.6792495707557</v>
      </c>
      <c r="C22" s="449">
        <f t="shared" ref="C22:C32" ca="1" si="3">C4*$C$17</f>
        <v>0</v>
      </c>
      <c r="D22" s="449">
        <f t="shared" ref="D22:D32" si="4">D4*$D$17</f>
        <v>3294.0899717816587</v>
      </c>
      <c r="E22" s="449">
        <f t="shared" ref="E22:E32" si="5">E4*$E$17</f>
        <v>342.23649526605368</v>
      </c>
      <c r="F22" s="449">
        <f t="shared" ref="F22:F32" si="6">F4*$F$17</f>
        <v>9143.3019570754204</v>
      </c>
      <c r="G22" s="449">
        <f t="shared" ref="G22:G32" si="7">G4*$G$17</f>
        <v>0</v>
      </c>
      <c r="H22" s="449">
        <f t="shared" ref="H22:H32" si="8">H4*$H$17</f>
        <v>0</v>
      </c>
      <c r="I22" s="449">
        <f t="shared" ref="I22:I32" si="9">I4*$I$17</f>
        <v>0</v>
      </c>
      <c r="J22" s="449">
        <f t="shared" ref="J22:J32" si="10">J4*$J$17</f>
        <v>60.647223040591925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14842.954896734482</v>
      </c>
    </row>
    <row r="23" spans="1:17">
      <c r="A23" s="448" t="s">
        <v>155</v>
      </c>
      <c r="B23" s="449">
        <f t="shared" ca="1" si="2"/>
        <v>2781.0455870347755</v>
      </c>
      <c r="C23" s="449">
        <f t="shared" ca="1" si="3"/>
        <v>0</v>
      </c>
      <c r="D23" s="449">
        <f t="shared" ca="1" si="4"/>
        <v>1024.5602433229799</v>
      </c>
      <c r="E23" s="449">
        <f t="shared" si="5"/>
        <v>11.542719512852077</v>
      </c>
      <c r="F23" s="449">
        <f t="shared" ca="1" si="6"/>
        <v>563.84980413942651</v>
      </c>
      <c r="G23" s="449">
        <f t="shared" si="7"/>
        <v>0</v>
      </c>
      <c r="H23" s="449">
        <f t="shared" si="8"/>
        <v>0</v>
      </c>
      <c r="I23" s="449">
        <f t="shared" si="9"/>
        <v>0</v>
      </c>
      <c r="J23" s="449">
        <f t="shared" si="10"/>
        <v>7.8847085846752239E-3</v>
      </c>
      <c r="K23" s="449">
        <f t="shared" si="11"/>
        <v>0</v>
      </c>
      <c r="L23" s="449">
        <f t="shared" ca="1" si="12"/>
        <v>0</v>
      </c>
      <c r="M23" s="449">
        <f t="shared" si="13"/>
        <v>0</v>
      </c>
      <c r="N23" s="449">
        <f t="shared" ca="1" si="14"/>
        <v>0</v>
      </c>
      <c r="O23" s="449">
        <f t="shared" si="15"/>
        <v>0</v>
      </c>
      <c r="P23" s="450">
        <f t="shared" si="16"/>
        <v>0</v>
      </c>
      <c r="Q23" s="448">
        <f t="shared" ref="Q23:Q31" ca="1" si="17">SUM(B23:P23)</f>
        <v>4381.006238718619</v>
      </c>
    </row>
    <row r="24" spans="1:17">
      <c r="A24" s="448" t="s">
        <v>193</v>
      </c>
      <c r="B24" s="449">
        <f t="shared" ca="1" si="2"/>
        <v>76.051931144103165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76.051931144103165</v>
      </c>
    </row>
    <row r="25" spans="1:17">
      <c r="A25" s="448" t="s">
        <v>111</v>
      </c>
      <c r="B25" s="449">
        <f t="shared" ca="1" si="2"/>
        <v>317.028820550847</v>
      </c>
      <c r="C25" s="449">
        <f t="shared" ca="1" si="3"/>
        <v>0</v>
      </c>
      <c r="D25" s="449">
        <f t="shared" si="4"/>
        <v>50.789118978948004</v>
      </c>
      <c r="E25" s="449">
        <f t="shared" si="5"/>
        <v>20.20164565571115</v>
      </c>
      <c r="F25" s="449">
        <f t="shared" si="6"/>
        <v>2067.1725144217385</v>
      </c>
      <c r="G25" s="449">
        <f t="shared" si="7"/>
        <v>0</v>
      </c>
      <c r="H25" s="449">
        <f t="shared" si="8"/>
        <v>0</v>
      </c>
      <c r="I25" s="449">
        <f t="shared" si="9"/>
        <v>0</v>
      </c>
      <c r="J25" s="449">
        <f t="shared" si="10"/>
        <v>221.75510365367327</v>
      </c>
      <c r="K25" s="449">
        <f t="shared" si="11"/>
        <v>0</v>
      </c>
      <c r="L25" s="449">
        <f t="shared" si="12"/>
        <v>0</v>
      </c>
      <c r="M25" s="449">
        <f t="shared" si="13"/>
        <v>0</v>
      </c>
      <c r="N25" s="449">
        <f t="shared" si="14"/>
        <v>0</v>
      </c>
      <c r="O25" s="449">
        <f t="shared" si="15"/>
        <v>0</v>
      </c>
      <c r="P25" s="450">
        <f t="shared" si="16"/>
        <v>0</v>
      </c>
      <c r="Q25" s="448">
        <f t="shared" ca="1" si="17"/>
        <v>2676.9472032609178</v>
      </c>
    </row>
    <row r="26" spans="1:17">
      <c r="A26" s="448" t="s">
        <v>618</v>
      </c>
      <c r="B26" s="449">
        <f t="shared" ca="1" si="2"/>
        <v>80.804045412382294</v>
      </c>
      <c r="C26" s="449">
        <f t="shared" ca="1" si="3"/>
        <v>0</v>
      </c>
      <c r="D26" s="449">
        <f t="shared" si="4"/>
        <v>125.86541664076798</v>
      </c>
      <c r="E26" s="449">
        <f t="shared" si="5"/>
        <v>0.45526150771622381</v>
      </c>
      <c r="F26" s="449">
        <f t="shared" si="6"/>
        <v>65.497672400091801</v>
      </c>
      <c r="G26" s="449">
        <f t="shared" si="7"/>
        <v>0</v>
      </c>
      <c r="H26" s="449">
        <f t="shared" si="8"/>
        <v>0</v>
      </c>
      <c r="I26" s="449">
        <f t="shared" si="9"/>
        <v>0</v>
      </c>
      <c r="J26" s="449">
        <f t="shared" si="10"/>
        <v>2.6678272097231049E-2</v>
      </c>
      <c r="K26" s="449">
        <f t="shared" si="11"/>
        <v>0</v>
      </c>
      <c r="L26" s="449">
        <f t="shared" si="12"/>
        <v>0</v>
      </c>
      <c r="M26" s="449">
        <f t="shared" si="13"/>
        <v>0</v>
      </c>
      <c r="N26" s="449">
        <f t="shared" si="14"/>
        <v>0</v>
      </c>
      <c r="O26" s="449">
        <f t="shared" si="15"/>
        <v>0</v>
      </c>
      <c r="P26" s="450">
        <f t="shared" si="16"/>
        <v>0</v>
      </c>
      <c r="Q26" s="448">
        <f t="shared" ca="1" si="17"/>
        <v>272.6490742330555</v>
      </c>
    </row>
    <row r="27" spans="1:17" s="454" customFormat="1">
      <c r="A27" s="452" t="s">
        <v>544</v>
      </c>
      <c r="B27" s="771">
        <f t="shared" ca="1" si="2"/>
        <v>9.4539001552927946</v>
      </c>
      <c r="C27" s="453">
        <f t="shared" ca="1" si="3"/>
        <v>0</v>
      </c>
      <c r="D27" s="453">
        <f t="shared" si="4"/>
        <v>29.218893749442124</v>
      </c>
      <c r="E27" s="453">
        <f t="shared" si="5"/>
        <v>17.746738826028601</v>
      </c>
      <c r="F27" s="453">
        <f t="shared" si="6"/>
        <v>0</v>
      </c>
      <c r="G27" s="453">
        <f t="shared" si="7"/>
        <v>7701.7791906197508</v>
      </c>
      <c r="H27" s="453">
        <f t="shared" si="8"/>
        <v>2176.5755439840464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9934.7742673345601</v>
      </c>
    </row>
    <row r="28" spans="1:17" ht="16.5" customHeight="1">
      <c r="A28" s="448" t="s">
        <v>534</v>
      </c>
      <c r="B28" s="449">
        <f t="shared" ca="1" si="2"/>
        <v>1.8083984346144506</v>
      </c>
      <c r="C28" s="449">
        <f t="shared" ca="1" si="3"/>
        <v>0</v>
      </c>
      <c r="D28" s="449">
        <f t="shared" si="4"/>
        <v>0</v>
      </c>
      <c r="E28" s="449">
        <f t="shared" si="5"/>
        <v>0</v>
      </c>
      <c r="F28" s="449">
        <f t="shared" si="6"/>
        <v>0</v>
      </c>
      <c r="G28" s="449">
        <f t="shared" si="7"/>
        <v>259.4209826597658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261.22938109438024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43.520098543296257</v>
      </c>
      <c r="C32" s="449">
        <f t="shared" ca="1" si="3"/>
        <v>0</v>
      </c>
      <c r="D32" s="449">
        <f t="shared" si="4"/>
        <v>226.62686312800002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270.14696167129625</v>
      </c>
    </row>
    <row r="33" spans="1:17" s="460" customFormat="1">
      <c r="A33" s="458" t="s">
        <v>538</v>
      </c>
      <c r="B33" s="459">
        <f ca="1">SUM(B22:B32)</f>
        <v>5312.3920308460674</v>
      </c>
      <c r="C33" s="459">
        <f t="shared" ref="C33:Q33" ca="1" si="19">SUM(C22:C32)</f>
        <v>0</v>
      </c>
      <c r="D33" s="459">
        <f t="shared" ca="1" si="19"/>
        <v>4751.1505076017966</v>
      </c>
      <c r="E33" s="459">
        <f t="shared" si="19"/>
        <v>392.18286076836176</v>
      </c>
      <c r="F33" s="459">
        <f t="shared" ca="1" si="19"/>
        <v>11839.821948036677</v>
      </c>
      <c r="G33" s="459">
        <f t="shared" si="19"/>
        <v>7961.200173279517</v>
      </c>
      <c r="H33" s="459">
        <f t="shared" si="19"/>
        <v>2176.5755439840464</v>
      </c>
      <c r="I33" s="459">
        <f t="shared" si="19"/>
        <v>0</v>
      </c>
      <c r="J33" s="459">
        <f t="shared" si="19"/>
        <v>282.43688967494711</v>
      </c>
      <c r="K33" s="459">
        <f t="shared" si="19"/>
        <v>0</v>
      </c>
      <c r="L33" s="459">
        <f t="shared" ca="1" si="19"/>
        <v>0</v>
      </c>
      <c r="M33" s="459">
        <f t="shared" si="19"/>
        <v>0</v>
      </c>
      <c r="N33" s="459">
        <f t="shared" ca="1" si="19"/>
        <v>0</v>
      </c>
      <c r="O33" s="459">
        <f t="shared" si="19"/>
        <v>0</v>
      </c>
      <c r="P33" s="459">
        <f t="shared" si="19"/>
        <v>0</v>
      </c>
      <c r="Q33" s="459">
        <f t="shared" ca="1" si="19"/>
        <v>32715.759954191417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5397.0274431512489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10552.5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12414.705882352942</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15949.527443151248</v>
      </c>
      <c r="C10" s="1017">
        <f>SUM(C4:C9)</f>
        <v>0</v>
      </c>
      <c r="D10" s="1017">
        <f t="shared" ref="D10:H10" si="0">SUM(D8:D9)</f>
        <v>0</v>
      </c>
      <c r="E10" s="1017">
        <f t="shared" si="0"/>
        <v>0</v>
      </c>
      <c r="F10" s="1017">
        <f t="shared" si="0"/>
        <v>0</v>
      </c>
      <c r="G10" s="1017">
        <f t="shared" si="0"/>
        <v>0</v>
      </c>
      <c r="H10" s="1017">
        <f t="shared" si="0"/>
        <v>0</v>
      </c>
      <c r="I10" s="1017">
        <f>SUM(I8:I9)</f>
        <v>0</v>
      </c>
      <c r="J10" s="1017">
        <f>SUM(J8:J9)</f>
        <v>12414.705882352942</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0.13285131536774367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15075</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17735.294117647063</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15075</v>
      </c>
      <c r="C20" s="1017">
        <f>SUM(C17:C19)</f>
        <v>0</v>
      </c>
      <c r="D20" s="1017">
        <f t="shared" ref="D20:H20" si="2">SUM(D17:D19)</f>
        <v>0</v>
      </c>
      <c r="E20" s="1017">
        <f t="shared" si="2"/>
        <v>0</v>
      </c>
      <c r="F20" s="1017">
        <f t="shared" si="2"/>
        <v>0</v>
      </c>
      <c r="G20" s="1017">
        <f t="shared" si="2"/>
        <v>0</v>
      </c>
      <c r="H20" s="1017">
        <f t="shared" si="2"/>
        <v>0</v>
      </c>
      <c r="I20" s="1017">
        <f>SUM(I17:I19)</f>
        <v>0</v>
      </c>
      <c r="J20" s="1017">
        <f>SUM(J17:J19)</f>
        <v>17735.294117647063</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0.13285131536774367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0.13285131536774367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0.13285131536774367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3565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3018.31</v>
      </c>
      <c r="C14" s="326"/>
      <c r="D14" s="326"/>
      <c r="E14" s="326"/>
      <c r="F14" s="326"/>
    </row>
    <row r="15" spans="1:6">
      <c r="A15" s="1307" t="s">
        <v>183</v>
      </c>
      <c r="B15" s="1308">
        <v>1730</v>
      </c>
      <c r="C15" s="326"/>
      <c r="D15" s="326"/>
      <c r="E15" s="326"/>
      <c r="F15" s="326"/>
    </row>
    <row r="16" spans="1:6">
      <c r="A16" s="1307" t="s">
        <v>6</v>
      </c>
      <c r="B16" s="1308">
        <v>125</v>
      </c>
      <c r="C16" s="326"/>
      <c r="D16" s="326"/>
      <c r="E16" s="326"/>
      <c r="F16" s="326"/>
    </row>
    <row r="17" spans="1:6">
      <c r="A17" s="1307" t="s">
        <v>7</v>
      </c>
      <c r="B17" s="1308">
        <v>357</v>
      </c>
      <c r="C17" s="326"/>
      <c r="D17" s="326"/>
      <c r="E17" s="326"/>
      <c r="F17" s="326"/>
    </row>
    <row r="18" spans="1:6">
      <c r="A18" s="1307" t="s">
        <v>8</v>
      </c>
      <c r="B18" s="1308">
        <v>272</v>
      </c>
      <c r="C18" s="326"/>
      <c r="D18" s="326"/>
      <c r="E18" s="326"/>
      <c r="F18" s="326"/>
    </row>
    <row r="19" spans="1:6">
      <c r="A19" s="1307" t="s">
        <v>9</v>
      </c>
      <c r="B19" s="1308">
        <v>198</v>
      </c>
      <c r="C19" s="326"/>
      <c r="D19" s="326"/>
      <c r="E19" s="326"/>
      <c r="F19" s="326"/>
    </row>
    <row r="20" spans="1:6">
      <c r="A20" s="1307" t="s">
        <v>10</v>
      </c>
      <c r="B20" s="1308">
        <v>283</v>
      </c>
      <c r="C20" s="326"/>
      <c r="D20" s="326"/>
      <c r="E20" s="326"/>
      <c r="F20" s="326"/>
    </row>
    <row r="21" spans="1:6">
      <c r="A21" s="1307" t="s">
        <v>11</v>
      </c>
      <c r="B21" s="1308">
        <v>3532</v>
      </c>
      <c r="C21" s="326"/>
      <c r="D21" s="326"/>
      <c r="E21" s="326"/>
      <c r="F21" s="326"/>
    </row>
    <row r="22" spans="1:6">
      <c r="A22" s="1307" t="s">
        <v>12</v>
      </c>
      <c r="B22" s="1308">
        <v>5778</v>
      </c>
      <c r="C22" s="326"/>
      <c r="D22" s="326"/>
      <c r="E22" s="326"/>
      <c r="F22" s="326"/>
    </row>
    <row r="23" spans="1:6">
      <c r="A23" s="1307" t="s">
        <v>13</v>
      </c>
      <c r="B23" s="1308">
        <v>78</v>
      </c>
      <c r="C23" s="326"/>
      <c r="D23" s="326"/>
      <c r="E23" s="326"/>
      <c r="F23" s="326"/>
    </row>
    <row r="24" spans="1:6">
      <c r="A24" s="1307" t="s">
        <v>14</v>
      </c>
      <c r="B24" s="1308">
        <v>0</v>
      </c>
      <c r="C24" s="326"/>
      <c r="D24" s="326"/>
      <c r="E24" s="326"/>
      <c r="F24" s="326"/>
    </row>
    <row r="25" spans="1:6">
      <c r="A25" s="1307" t="s">
        <v>15</v>
      </c>
      <c r="B25" s="1308">
        <v>514</v>
      </c>
      <c r="C25" s="326"/>
      <c r="D25" s="326"/>
      <c r="E25" s="326"/>
      <c r="F25" s="326"/>
    </row>
    <row r="26" spans="1:6">
      <c r="A26" s="1307" t="s">
        <v>16</v>
      </c>
      <c r="B26" s="1308">
        <v>156</v>
      </c>
      <c r="C26" s="326"/>
      <c r="D26" s="326"/>
      <c r="E26" s="326"/>
      <c r="F26" s="326"/>
    </row>
    <row r="27" spans="1:6">
      <c r="A27" s="1307" t="s">
        <v>17</v>
      </c>
      <c r="B27" s="1308">
        <v>1</v>
      </c>
      <c r="C27" s="326"/>
      <c r="D27" s="326"/>
      <c r="E27" s="326"/>
      <c r="F27" s="326"/>
    </row>
    <row r="28" spans="1:6" s="43" customFormat="1">
      <c r="A28" s="1309" t="s">
        <v>18</v>
      </c>
      <c r="B28" s="1310">
        <v>83657</v>
      </c>
      <c r="C28" s="332"/>
      <c r="D28" s="332"/>
      <c r="E28" s="332"/>
      <c r="F28" s="332"/>
    </row>
    <row r="29" spans="1:6">
      <c r="A29" s="1309" t="s">
        <v>688</v>
      </c>
      <c r="B29" s="1310">
        <v>290</v>
      </c>
      <c r="C29" s="332"/>
      <c r="D29" s="332"/>
      <c r="E29" s="332"/>
      <c r="F29" s="332"/>
    </row>
    <row r="30" spans="1:6">
      <c r="A30" s="1302" t="s">
        <v>689</v>
      </c>
      <c r="B30" s="1311">
        <v>34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106039.98699999999</v>
      </c>
    </row>
    <row r="37" spans="1:6">
      <c r="A37" s="1307" t="s">
        <v>24</v>
      </c>
      <c r="B37" s="1307" t="s">
        <v>27</v>
      </c>
      <c r="C37" s="1308">
        <v>0</v>
      </c>
      <c r="D37" s="1308">
        <v>0</v>
      </c>
      <c r="E37" s="1308">
        <v>0</v>
      </c>
      <c r="F37" s="1308">
        <v>0</v>
      </c>
    </row>
    <row r="38" spans="1:6">
      <c r="A38" s="1307" t="s">
        <v>24</v>
      </c>
      <c r="B38" s="1307" t="s">
        <v>28</v>
      </c>
      <c r="C38" s="1308">
        <v>1</v>
      </c>
      <c r="D38" s="1308">
        <v>9960.9609999999993</v>
      </c>
      <c r="E38" s="1308">
        <v>0</v>
      </c>
      <c r="F38" s="1308">
        <v>0</v>
      </c>
    </row>
    <row r="39" spans="1:6">
      <c r="A39" s="1307" t="s">
        <v>29</v>
      </c>
      <c r="B39" s="1307" t="s">
        <v>30</v>
      </c>
      <c r="C39" s="1308">
        <v>1154</v>
      </c>
      <c r="D39" s="1308">
        <v>18059109.743000001</v>
      </c>
      <c r="E39" s="1308">
        <v>3407</v>
      </c>
      <c r="F39" s="1308">
        <v>11848269.983000001</v>
      </c>
    </row>
    <row r="40" spans="1:6">
      <c r="A40" s="1307" t="s">
        <v>29</v>
      </c>
      <c r="B40" s="1307" t="s">
        <v>28</v>
      </c>
      <c r="C40" s="1308">
        <v>0</v>
      </c>
      <c r="D40" s="1308">
        <v>0</v>
      </c>
      <c r="E40" s="1308">
        <v>0</v>
      </c>
      <c r="F40" s="1308">
        <v>0</v>
      </c>
    </row>
    <row r="41" spans="1:6">
      <c r="A41" s="1307" t="s">
        <v>31</v>
      </c>
      <c r="B41" s="1307" t="s">
        <v>32</v>
      </c>
      <c r="C41" s="1308">
        <v>30</v>
      </c>
      <c r="D41" s="1308">
        <v>581211.25699999998</v>
      </c>
      <c r="E41" s="1308">
        <v>70</v>
      </c>
      <c r="F41" s="1308">
        <v>389345.19099999999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9</v>
      </c>
      <c r="F44" s="1308">
        <v>58648.78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22522.912</v>
      </c>
    </row>
    <row r="48" spans="1:6">
      <c r="A48" s="1307" t="s">
        <v>31</v>
      </c>
      <c r="B48" s="1307" t="s">
        <v>28</v>
      </c>
      <c r="C48" s="1308">
        <v>4</v>
      </c>
      <c r="D48" s="1308">
        <v>108817.671</v>
      </c>
      <c r="E48" s="1308">
        <v>2</v>
      </c>
      <c r="F48" s="1308">
        <v>11140.793</v>
      </c>
    </row>
    <row r="49" spans="1:6">
      <c r="A49" s="1307" t="s">
        <v>31</v>
      </c>
      <c r="B49" s="1307" t="s">
        <v>39</v>
      </c>
      <c r="C49" s="1308">
        <v>0</v>
      </c>
      <c r="D49" s="1308">
        <v>0</v>
      </c>
      <c r="E49" s="1308">
        <v>0</v>
      </c>
      <c r="F49" s="1308">
        <v>0</v>
      </c>
    </row>
    <row r="50" spans="1:6">
      <c r="A50" s="1307" t="s">
        <v>31</v>
      </c>
      <c r="B50" s="1307" t="s">
        <v>40</v>
      </c>
      <c r="C50" s="1308">
        <v>0</v>
      </c>
      <c r="D50" s="1308">
        <v>0</v>
      </c>
      <c r="E50" s="1308">
        <v>3</v>
      </c>
      <c r="F50" s="1308">
        <v>126571.495</v>
      </c>
    </row>
    <row r="51" spans="1:6">
      <c r="A51" s="1307" t="s">
        <v>41</v>
      </c>
      <c r="B51" s="1307" t="s">
        <v>42</v>
      </c>
      <c r="C51" s="1308">
        <v>9</v>
      </c>
      <c r="D51" s="1308">
        <v>278439.95799999998</v>
      </c>
      <c r="E51" s="1308">
        <v>83</v>
      </c>
      <c r="F51" s="1308">
        <v>2386343.1060000001</v>
      </c>
    </row>
    <row r="52" spans="1:6">
      <c r="A52" s="1307" t="s">
        <v>41</v>
      </c>
      <c r="B52" s="1307" t="s">
        <v>28</v>
      </c>
      <c r="C52" s="1308">
        <v>0</v>
      </c>
      <c r="D52" s="1308">
        <v>0</v>
      </c>
      <c r="E52" s="1308">
        <v>0</v>
      </c>
      <c r="F52" s="1308">
        <v>0</v>
      </c>
    </row>
    <row r="53" spans="1:6">
      <c r="A53" s="1307" t="s">
        <v>43</v>
      </c>
      <c r="B53" s="1307" t="s">
        <v>44</v>
      </c>
      <c r="C53" s="1308">
        <v>32</v>
      </c>
      <c r="D53" s="1308">
        <v>1121915.1640000001</v>
      </c>
      <c r="E53" s="1308">
        <v>79</v>
      </c>
      <c r="F53" s="1308">
        <v>327585.00300000003</v>
      </c>
    </row>
    <row r="54" spans="1:6">
      <c r="A54" s="1307" t="s">
        <v>45</v>
      </c>
      <c r="B54" s="1307" t="s">
        <v>46</v>
      </c>
      <c r="C54" s="1308">
        <v>0</v>
      </c>
      <c r="D54" s="1308">
        <v>0</v>
      </c>
      <c r="E54" s="1308">
        <v>1</v>
      </c>
      <c r="F54" s="1308">
        <v>572459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13</v>
      </c>
      <c r="D57" s="1308">
        <v>231168.80799999999</v>
      </c>
      <c r="E57" s="1308">
        <v>59</v>
      </c>
      <c r="F57" s="1308">
        <v>2253983.892</v>
      </c>
    </row>
    <row r="58" spans="1:6">
      <c r="A58" s="1307" t="s">
        <v>48</v>
      </c>
      <c r="B58" s="1307" t="s">
        <v>50</v>
      </c>
      <c r="C58" s="1308">
        <v>7</v>
      </c>
      <c r="D58" s="1308">
        <v>967035.33700000006</v>
      </c>
      <c r="E58" s="1308">
        <v>36</v>
      </c>
      <c r="F58" s="1308">
        <v>592747.13699999999</v>
      </c>
    </row>
    <row r="59" spans="1:6">
      <c r="A59" s="1307" t="s">
        <v>48</v>
      </c>
      <c r="B59" s="1307" t="s">
        <v>51</v>
      </c>
      <c r="C59" s="1308">
        <v>29</v>
      </c>
      <c r="D59" s="1308">
        <v>848406.70200000005</v>
      </c>
      <c r="E59" s="1308">
        <v>101</v>
      </c>
      <c r="F59" s="1308">
        <v>5183967.7489999998</v>
      </c>
    </row>
    <row r="60" spans="1:6">
      <c r="A60" s="1307" t="s">
        <v>48</v>
      </c>
      <c r="B60" s="1307" t="s">
        <v>52</v>
      </c>
      <c r="C60" s="1308">
        <v>21</v>
      </c>
      <c r="D60" s="1308">
        <v>736450.54700000002</v>
      </c>
      <c r="E60" s="1308">
        <v>32</v>
      </c>
      <c r="F60" s="1308">
        <v>649615.02399999998</v>
      </c>
    </row>
    <row r="61" spans="1:6">
      <c r="A61" s="1307" t="s">
        <v>48</v>
      </c>
      <c r="B61" s="1307" t="s">
        <v>53</v>
      </c>
      <c r="C61" s="1308">
        <v>44</v>
      </c>
      <c r="D61" s="1308">
        <v>1914618.193</v>
      </c>
      <c r="E61" s="1308">
        <v>116</v>
      </c>
      <c r="F61" s="1308">
        <v>1344485.352</v>
      </c>
    </row>
    <row r="62" spans="1:6">
      <c r="A62" s="1307" t="s">
        <v>48</v>
      </c>
      <c r="B62" s="1307" t="s">
        <v>54</v>
      </c>
      <c r="C62" s="1308">
        <v>6</v>
      </c>
      <c r="D62" s="1308">
        <v>919242.24300000002</v>
      </c>
      <c r="E62" s="1308">
        <v>11</v>
      </c>
      <c r="F62" s="1308">
        <v>349665.37599999999</v>
      </c>
    </row>
    <row r="63" spans="1:6">
      <c r="A63" s="1307" t="s">
        <v>48</v>
      </c>
      <c r="B63" s="1307" t="s">
        <v>28</v>
      </c>
      <c r="C63" s="1308">
        <v>0</v>
      </c>
      <c r="D63" s="1308">
        <v>0</v>
      </c>
      <c r="E63" s="1308">
        <v>1</v>
      </c>
      <c r="F63" s="1308">
        <v>6554.866</v>
      </c>
    </row>
    <row r="64" spans="1:6">
      <c r="A64" s="1307" t="s">
        <v>55</v>
      </c>
      <c r="B64" s="1307" t="s">
        <v>56</v>
      </c>
      <c r="C64" s="1308">
        <v>0</v>
      </c>
      <c r="D64" s="1308">
        <v>0</v>
      </c>
      <c r="E64" s="1308">
        <v>0</v>
      </c>
      <c r="F64" s="1308">
        <v>0</v>
      </c>
    </row>
    <row r="65" spans="1:6">
      <c r="A65" s="1307" t="s">
        <v>55</v>
      </c>
      <c r="B65" s="1307" t="s">
        <v>28</v>
      </c>
      <c r="C65" s="1308">
        <v>1</v>
      </c>
      <c r="D65" s="1308">
        <v>26682.921999999999</v>
      </c>
      <c r="E65" s="1308">
        <v>2</v>
      </c>
      <c r="F65" s="1308">
        <v>70084.3</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31183.51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20167773</v>
      </c>
      <c r="E73" s="447"/>
      <c r="F73" s="326"/>
    </row>
    <row r="74" spans="1:6">
      <c r="A74" s="1307" t="s">
        <v>63</v>
      </c>
      <c r="B74" s="1307" t="s">
        <v>639</v>
      </c>
      <c r="C74" s="1321" t="s">
        <v>641</v>
      </c>
      <c r="D74" s="1322">
        <v>1565909.983796634</v>
      </c>
      <c r="E74" s="447"/>
      <c r="F74" s="326"/>
    </row>
    <row r="75" spans="1:6">
      <c r="A75" s="1307" t="s">
        <v>64</v>
      </c>
      <c r="B75" s="1307" t="s">
        <v>638</v>
      </c>
      <c r="C75" s="1321" t="s">
        <v>642</v>
      </c>
      <c r="D75" s="1322">
        <v>23443254</v>
      </c>
      <c r="E75" s="447"/>
      <c r="F75" s="326"/>
    </row>
    <row r="76" spans="1:6">
      <c r="A76" s="1307" t="s">
        <v>64</v>
      </c>
      <c r="B76" s="1307" t="s">
        <v>639</v>
      </c>
      <c r="C76" s="1321" t="s">
        <v>643</v>
      </c>
      <c r="D76" s="1322">
        <v>703231.98379663401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287720.03240673197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3226.3210666043674</v>
      </c>
      <c r="C91" s="326"/>
      <c r="D91" s="326"/>
      <c r="E91" s="326"/>
      <c r="F91" s="326"/>
    </row>
    <row r="92" spans="1:6">
      <c r="A92" s="1302" t="s">
        <v>68</v>
      </c>
      <c r="B92" s="1303">
        <v>2170.7063765468815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248</v>
      </c>
      <c r="C97" s="326"/>
      <c r="D97" s="326"/>
      <c r="E97" s="326"/>
      <c r="F97" s="326"/>
    </row>
    <row r="98" spans="1:6">
      <c r="A98" s="1307" t="s">
        <v>71</v>
      </c>
      <c r="B98" s="1308">
        <v>0</v>
      </c>
      <c r="C98" s="326"/>
      <c r="D98" s="326"/>
      <c r="E98" s="326"/>
      <c r="F98" s="326"/>
    </row>
    <row r="99" spans="1:6">
      <c r="A99" s="1307" t="s">
        <v>72</v>
      </c>
      <c r="B99" s="1308">
        <v>43</v>
      </c>
      <c r="C99" s="326"/>
      <c r="D99" s="326"/>
      <c r="E99" s="326"/>
      <c r="F99" s="326"/>
    </row>
    <row r="100" spans="1:6">
      <c r="A100" s="1307" t="s">
        <v>73</v>
      </c>
      <c r="B100" s="1308">
        <v>67</v>
      </c>
      <c r="C100" s="326"/>
      <c r="D100" s="326"/>
      <c r="E100" s="326"/>
      <c r="F100" s="326"/>
    </row>
    <row r="101" spans="1:6">
      <c r="A101" s="1307" t="s">
        <v>74</v>
      </c>
      <c r="B101" s="1308">
        <v>56</v>
      </c>
      <c r="C101" s="326"/>
      <c r="D101" s="326"/>
      <c r="E101" s="326"/>
      <c r="F101" s="326"/>
    </row>
    <row r="102" spans="1:6">
      <c r="A102" s="1307" t="s">
        <v>75</v>
      </c>
      <c r="B102" s="1308">
        <v>47</v>
      </c>
      <c r="C102" s="326"/>
      <c r="D102" s="326"/>
      <c r="E102" s="326"/>
      <c r="F102" s="326"/>
    </row>
    <row r="103" spans="1:6">
      <c r="A103" s="1307" t="s">
        <v>76</v>
      </c>
      <c r="B103" s="1308">
        <v>114</v>
      </c>
      <c r="C103" s="326"/>
      <c r="D103" s="326"/>
      <c r="E103" s="326"/>
      <c r="F103" s="326"/>
    </row>
    <row r="104" spans="1:6">
      <c r="A104" s="1307" t="s">
        <v>77</v>
      </c>
      <c r="B104" s="1308">
        <v>2465</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26</v>
      </c>
      <c r="C123" s="1308">
        <v>16</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79</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39987.500433404944</v>
      </c>
      <c r="C3" s="43" t="s">
        <v>169</v>
      </c>
      <c r="D3" s="43"/>
      <c r="E3" s="154"/>
      <c r="F3" s="43"/>
      <c r="G3" s="43"/>
      <c r="H3" s="43"/>
      <c r="I3" s="43"/>
      <c r="J3" s="43"/>
      <c r="K3" s="96"/>
    </row>
    <row r="4" spans="1:11">
      <c r="A4" s="354" t="s">
        <v>170</v>
      </c>
      <c r="B4" s="49">
        <f>IF(ISERROR('SEAP template'!B78+'SEAP template'!C78),0,'SEAP template'!B78+'SEAP template'!C78)</f>
        <v>15949.527443151248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0.13285131536774367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572.45899999999995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572.45899999999995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0.13285131536774367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76.051931144103165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11848.269983</v>
      </c>
      <c r="C5" s="17">
        <f>IF(ISERROR('Eigen informatie GS &amp; warmtenet'!B59),0,'Eigen informatie GS &amp; warmtenet'!B59)</f>
        <v>0</v>
      </c>
      <c r="D5" s="30">
        <f>(SUM(HH_hh_gas_kWh,HH_rest_gas_kWh)/1000)*0.903</f>
        <v>16307.376097929002</v>
      </c>
      <c r="E5" s="17">
        <f>B32*B41</f>
        <v>1507.6497588812938</v>
      </c>
      <c r="F5" s="17">
        <f>B36*B45</f>
        <v>34244.576618259998</v>
      </c>
      <c r="G5" s="18"/>
      <c r="H5" s="17"/>
      <c r="I5" s="17"/>
      <c r="J5" s="17">
        <f>B35*B44+C35*C44</f>
        <v>171.31983909771731</v>
      </c>
      <c r="K5" s="17"/>
      <c r="L5" s="17"/>
      <c r="M5" s="17"/>
      <c r="N5" s="17">
        <f>B34*B43+C34*C43</f>
        <v>5340.2995921749789</v>
      </c>
      <c r="O5" s="17">
        <f>B52*B53*B54</f>
        <v>188.47603084176802</v>
      </c>
      <c r="P5" s="17">
        <f>B60*B61*B62/1000-B60*B61*B62/1000/B63</f>
        <v>431.89233161508594</v>
      </c>
    </row>
    <row r="6" spans="1:16">
      <c r="A6" s="16" t="s">
        <v>604</v>
      </c>
      <c r="B6" s="779">
        <f>kWh_PV_kleiner_dan_10kW</f>
        <v>3226.3210666043674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15074.591049604367</v>
      </c>
      <c r="C8" s="21">
        <f>C5</f>
        <v>0</v>
      </c>
      <c r="D8" s="21">
        <f>D5</f>
        <v>16307.376097929002</v>
      </c>
      <c r="E8" s="21">
        <f>E5</f>
        <v>1507.6497588812938</v>
      </c>
      <c r="F8" s="21">
        <f>F5</f>
        <v>34244.576618259998</v>
      </c>
      <c r="G8" s="21"/>
      <c r="H8" s="21"/>
      <c r="I8" s="21"/>
      <c r="J8" s="21">
        <f>J5</f>
        <v>171.31983909771731</v>
      </c>
      <c r="K8" s="21"/>
      <c r="L8" s="21">
        <f>L5</f>
        <v>0</v>
      </c>
      <c r="M8" s="21">
        <f>M5</f>
        <v>0</v>
      </c>
      <c r="N8" s="21">
        <f>N5</f>
        <v>5340.2995921749789</v>
      </c>
      <c r="O8" s="21">
        <f>O5</f>
        <v>188.47603084176802</v>
      </c>
      <c r="P8" s="21">
        <f>P5</f>
        <v>431.89233161508594</v>
      </c>
    </row>
    <row r="9" spans="1:16">
      <c r="B9" s="19"/>
      <c r="C9" s="19"/>
      <c r="D9" s="254"/>
      <c r="E9" s="19"/>
      <c r="F9" s="19"/>
      <c r="G9" s="19"/>
      <c r="H9" s="19"/>
      <c r="I9" s="19"/>
      <c r="J9" s="19"/>
      <c r="K9" s="19"/>
      <c r="L9" s="19"/>
      <c r="M9" s="19"/>
      <c r="N9" s="19"/>
      <c r="O9" s="19"/>
      <c r="P9" s="19"/>
    </row>
    <row r="10" spans="1:16">
      <c r="A10" s="24" t="s">
        <v>213</v>
      </c>
      <c r="B10" s="25">
        <f ca="1">'EF ele_warmte'!B12</f>
        <v>0.13285131536774367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2002.6792495707557</v>
      </c>
      <c r="C12" s="23">
        <f ca="1">C10*C8</f>
        <v>0</v>
      </c>
      <c r="D12" s="23">
        <f>D8*D10</f>
        <v>3294.0899717816587</v>
      </c>
      <c r="E12" s="23">
        <f>E10*E8</f>
        <v>342.23649526605368</v>
      </c>
      <c r="F12" s="23">
        <f>F10*F8</f>
        <v>9143.3019570754204</v>
      </c>
      <c r="G12" s="23"/>
      <c r="H12" s="23"/>
      <c r="I12" s="23"/>
      <c r="J12" s="23">
        <f>J10*J8</f>
        <v>60.647223040591925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3565</v>
      </c>
      <c r="C26" s="36"/>
      <c r="D26" s="225"/>
    </row>
    <row r="27" spans="1:5" s="15" customFormat="1">
      <c r="A27" s="227" t="s">
        <v>817</v>
      </c>
      <c r="B27" s="37">
        <f>SUM(HH_hh_gas_aantal,HH_rest_gas_aantal)</f>
        <v>1154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1096.3</v>
      </c>
      <c r="C31" s="34" t="s">
        <v>110</v>
      </c>
      <c r="D31" s="171"/>
    </row>
    <row r="32" spans="1:5">
      <c r="A32" s="168" t="s">
        <v>72</v>
      </c>
      <c r="B32" s="33">
        <f>IF((B21*($B$26-($B$27-0.05*$B$27)-$B$60))&lt;0,0,B21*($B$26-($B$27-0.05*$B$27)-$B$60))</f>
        <v>37.365602284263289</v>
      </c>
      <c r="C32" s="34" t="s">
        <v>110</v>
      </c>
      <c r="D32" s="171"/>
    </row>
    <row r="33" spans="1:6">
      <c r="A33" s="168" t="s">
        <v>73</v>
      </c>
      <c r="B33" s="33">
        <f>IF((B22*($B$26-($B$27-0.05*$B$27)-$B$60))&lt;0,0,B22*($B$26-($B$27-0.05*$B$27)-$B$60))</f>
        <v>606.74337770885893</v>
      </c>
      <c r="C33" s="34" t="s">
        <v>110</v>
      </c>
      <c r="D33" s="171"/>
    </row>
    <row r="34" spans="1:6">
      <c r="A34" s="168" t="s">
        <v>74</v>
      </c>
      <c r="B34" s="33">
        <f>IF((B24*($B$26-($B$27-0.05*$B$27)-$B$60))&lt;0,0,B24*($B$26-($B$27-0.05*$B$27)-$B$60))</f>
        <v>116.22058164021817</v>
      </c>
      <c r="C34" s="33">
        <f>B26*C24</f>
        <v>730.01895396959048</v>
      </c>
      <c r="D34" s="230"/>
    </row>
    <row r="35" spans="1:6">
      <c r="A35" s="168" t="s">
        <v>76</v>
      </c>
      <c r="B35" s="33">
        <f>IF((B19*($B$26-($B$27-0.05*$B$27)-$B$60))&lt;0,0,B19*($B$26-($B$27-0.05*$B$27)-$B$60))</f>
        <v>16.242738230935107</v>
      </c>
      <c r="C35" s="33">
        <f>B35/2</f>
        <v>8.1213691154675534</v>
      </c>
      <c r="D35" s="230"/>
    </row>
    <row r="36" spans="1:6">
      <c r="A36" s="168" t="s">
        <v>77</v>
      </c>
      <c r="B36" s="33">
        <f>IF((B18*($B$26-($B$27-0.05*$B$27)-$B$60))&lt;0,0,B18*($B$26-($B$27-0.05*$B$27)-$B$60))</f>
        <v>1651.1277001357237</v>
      </c>
      <c r="C36" s="34" t="s">
        <v>110</v>
      </c>
      <c r="D36" s="171"/>
    </row>
    <row r="37" spans="1:6">
      <c r="A37" s="168" t="s">
        <v>78</v>
      </c>
      <c r="B37" s="33">
        <f>B60</f>
        <v>41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10381.019396000002</v>
      </c>
      <c r="C5" s="17">
        <f>IF(ISERROR('Eigen informatie GS &amp; warmtenet'!B60),0,'Eigen informatie GS &amp; warmtenet'!B60)</f>
        <v>0</v>
      </c>
      <c r="D5" s="30">
        <f>SUM(D6:D12)</f>
        <v>5072.0804124899996</v>
      </c>
      <c r="E5" s="17">
        <f>SUM(E6:E12)</f>
        <v>50.848984638114878</v>
      </c>
      <c r="F5" s="17">
        <f>SUM(F6:F12)</f>
        <v>2111.7970192487883</v>
      </c>
      <c r="G5" s="18"/>
      <c r="H5" s="17"/>
      <c r="I5" s="17"/>
      <c r="J5" s="17">
        <f>SUM(J6:J12)</f>
        <v>2.2273188092302894E-2</v>
      </c>
      <c r="K5" s="17"/>
      <c r="L5" s="17"/>
      <c r="M5" s="17"/>
      <c r="N5" s="17">
        <f>SUM(N6:N12)</f>
        <v>813.06295178629512</v>
      </c>
      <c r="O5" s="17">
        <f>B38*B39*B40</f>
        <v>0</v>
      </c>
      <c r="P5" s="17">
        <f>B46*B47*B48/1000-B46*B47*B48/1000/B49</f>
        <v>52.539138306495019</v>
      </c>
      <c r="R5" s="32"/>
    </row>
    <row r="6" spans="1:18">
      <c r="A6" s="32" t="s">
        <v>53</v>
      </c>
      <c r="B6" s="37">
        <f>B26</f>
        <v>1344.4853519999999</v>
      </c>
      <c r="C6" s="33"/>
      <c r="D6" s="37">
        <f>IF(ISERROR(TER_kantoor_gas_kWh/1000),0,TER_kantoor_gas_kWh/1000)*0.903</f>
        <v>1728.900228279</v>
      </c>
      <c r="E6" s="33">
        <f>$C$26*'E Balans VL '!I12/100/3.6*1000000</f>
        <v>0.32210673243458299</v>
      </c>
      <c r="F6" s="33">
        <f>$C$26*('E Balans VL '!L12+'E Balans VL '!N12)/100/3.6*1000000</f>
        <v>127.49596678992856</v>
      </c>
      <c r="G6" s="34"/>
      <c r="H6" s="33"/>
      <c r="I6" s="33"/>
      <c r="J6" s="33">
        <f>$C$26*('E Balans VL '!D12+'E Balans VL '!E12)/100/3.6*1000000</f>
        <v>0</v>
      </c>
      <c r="K6" s="33"/>
      <c r="L6" s="33"/>
      <c r="M6" s="33"/>
      <c r="N6" s="33">
        <f>$C$26*'E Balans VL '!Y12/100/3.6*1000000</f>
        <v>0.68292901706461151</v>
      </c>
      <c r="O6" s="33"/>
      <c r="P6" s="33"/>
      <c r="R6" s="32"/>
    </row>
    <row r="7" spans="1:18">
      <c r="A7" s="32" t="s">
        <v>52</v>
      </c>
      <c r="B7" s="37">
        <f t="shared" ref="B7:B12" si="0">B27</f>
        <v>649.61502399999995</v>
      </c>
      <c r="C7" s="33"/>
      <c r="D7" s="37">
        <f>IF(ISERROR(TER_horeca_gas_kWh/1000),0,TER_horeca_gas_kWh/1000)*0.903</f>
        <v>665.01484394100009</v>
      </c>
      <c r="E7" s="33">
        <f>$C$27*'E Balans VL '!I9/100/3.6*1000000</f>
        <v>0</v>
      </c>
      <c r="F7" s="33">
        <f>$C$27*('E Balans VL '!L9+'E Balans VL '!N9)/100/3.6*1000000</f>
        <v>53.266904924915025</v>
      </c>
      <c r="G7" s="34"/>
      <c r="H7" s="33"/>
      <c r="I7" s="33"/>
      <c r="J7" s="33">
        <f>$C$27*('E Balans VL '!D9+'E Balans VL '!E9)/100/3.6*1000000</f>
        <v>0</v>
      </c>
      <c r="K7" s="33"/>
      <c r="L7" s="33"/>
      <c r="M7" s="33"/>
      <c r="N7" s="33">
        <f>$C$27*'E Balans VL '!Y9/100/3.6*1000000</f>
        <v>0.19913310447368329</v>
      </c>
      <c r="O7" s="33"/>
      <c r="P7" s="33"/>
      <c r="R7" s="32"/>
    </row>
    <row r="8" spans="1:18">
      <c r="A8" s="6" t="s">
        <v>51</v>
      </c>
      <c r="B8" s="37">
        <f t="shared" si="0"/>
        <v>5183.9677489999995</v>
      </c>
      <c r="C8" s="33"/>
      <c r="D8" s="37">
        <f>IF(ISERROR(TER_handel_gas_kWh/1000),0,TER_handel_gas_kWh/1000)*0.903</f>
        <v>766.11125190600001</v>
      </c>
      <c r="E8" s="33">
        <f>$C$28*'E Balans VL '!I13/100/3.6*1000000</f>
        <v>18.218813324079335</v>
      </c>
      <c r="F8" s="33">
        <f>$C$28*('E Balans VL '!L13+'E Balans VL '!N13)/100/3.6*1000000</f>
        <v>474.32373949624815</v>
      </c>
      <c r="G8" s="34"/>
      <c r="H8" s="33"/>
      <c r="I8" s="33"/>
      <c r="J8" s="33">
        <f>$C$28*('E Balans VL '!D13+'E Balans VL '!E13)/100/3.6*1000000</f>
        <v>0</v>
      </c>
      <c r="K8" s="33"/>
      <c r="L8" s="33"/>
      <c r="M8" s="33"/>
      <c r="N8" s="33">
        <f>$C$28*'E Balans VL '!Y13/100/3.6*1000000</f>
        <v>1.877409940523844</v>
      </c>
      <c r="O8" s="33"/>
      <c r="P8" s="33"/>
      <c r="R8" s="32"/>
    </row>
    <row r="9" spans="1:18">
      <c r="A9" s="32" t="s">
        <v>50</v>
      </c>
      <c r="B9" s="37">
        <f t="shared" si="0"/>
        <v>592.74713699999995</v>
      </c>
      <c r="C9" s="33"/>
      <c r="D9" s="37">
        <f>IF(ISERROR(TER_gezond_gas_kWh/1000),0,TER_gezond_gas_kWh/1000)*0.903</f>
        <v>873.23290931100007</v>
      </c>
      <c r="E9" s="33">
        <f>$C$29*'E Balans VL '!I10/100/3.6*1000000</f>
        <v>0</v>
      </c>
      <c r="F9" s="33">
        <f>$C$29*('E Balans VL '!L10+'E Balans VL '!N10)/100/3.6*1000000</f>
        <v>72.65991441118031</v>
      </c>
      <c r="G9" s="34"/>
      <c r="H9" s="33"/>
      <c r="I9" s="33"/>
      <c r="J9" s="33">
        <f>$C$29*('E Balans VL '!D10+'E Balans VL '!E10)/100/3.6*1000000</f>
        <v>0</v>
      </c>
      <c r="K9" s="33"/>
      <c r="L9" s="33"/>
      <c r="M9" s="33"/>
      <c r="N9" s="33">
        <f>$C$29*'E Balans VL '!Y10/100/3.6*1000000</f>
        <v>4.3710970766664552</v>
      </c>
      <c r="O9" s="33"/>
      <c r="P9" s="33"/>
      <c r="R9" s="32"/>
    </row>
    <row r="10" spans="1:18">
      <c r="A10" s="32" t="s">
        <v>49</v>
      </c>
      <c r="B10" s="37">
        <f t="shared" si="0"/>
        <v>2253.9838920000002</v>
      </c>
      <c r="C10" s="33"/>
      <c r="D10" s="37">
        <f>IF(ISERROR(TER_ander_gas_kWh/1000),0,TER_ander_gas_kWh/1000)*0.903</f>
        <v>208.74543362399999</v>
      </c>
      <c r="E10" s="33">
        <f>$C$30*'E Balans VL '!I14/100/3.6*1000000</f>
        <v>32.282024514177884</v>
      </c>
      <c r="F10" s="33">
        <f>$C$30*('E Balans VL '!L14+'E Balans VL '!N14)/100/3.6*1000000</f>
        <v>1341.8732501264799</v>
      </c>
      <c r="G10" s="34"/>
      <c r="H10" s="33"/>
      <c r="I10" s="33"/>
      <c r="J10" s="33">
        <f>$C$30*('E Balans VL '!D14+'E Balans VL '!E14)/100/3.6*1000000</f>
        <v>2.2259939441714074E-2</v>
      </c>
      <c r="K10" s="33"/>
      <c r="L10" s="33"/>
      <c r="M10" s="33"/>
      <c r="N10" s="33">
        <f>$C$30*'E Balans VL '!Y14/100/3.6*1000000</f>
        <v>804.46250547646548</v>
      </c>
      <c r="O10" s="33"/>
      <c r="P10" s="33"/>
      <c r="R10" s="32"/>
    </row>
    <row r="11" spans="1:18">
      <c r="A11" s="32" t="s">
        <v>54</v>
      </c>
      <c r="B11" s="37">
        <f t="shared" si="0"/>
        <v>349.66537599999998</v>
      </c>
      <c r="C11" s="33"/>
      <c r="D11" s="37">
        <f>IF(ISERROR(TER_onderwijs_gas_kWh/1000),0,TER_onderwijs_gas_kWh/1000)*0.903</f>
        <v>830.07574542899999</v>
      </c>
      <c r="E11" s="33">
        <f>$C$31*'E Balans VL '!I11/100/3.6*1000000</f>
        <v>0</v>
      </c>
      <c r="F11" s="33">
        <f>$C$31*('E Balans VL '!L11+'E Balans VL '!N11)/100/3.6*1000000</f>
        <v>40.880046414035199</v>
      </c>
      <c r="G11" s="34"/>
      <c r="H11" s="33"/>
      <c r="I11" s="33"/>
      <c r="J11" s="33">
        <f>$C$31*('E Balans VL '!D11+'E Balans VL '!E11)/100/3.6*1000000</f>
        <v>0</v>
      </c>
      <c r="K11" s="33"/>
      <c r="L11" s="33"/>
      <c r="M11" s="33"/>
      <c r="N11" s="33">
        <f>$C$31*'E Balans VL '!Y11/100/3.6*1000000</f>
        <v>0.98461754631522969</v>
      </c>
      <c r="O11" s="33"/>
      <c r="P11" s="33"/>
      <c r="R11" s="32"/>
    </row>
    <row r="12" spans="1:18">
      <c r="A12" s="32" t="s">
        <v>255</v>
      </c>
      <c r="B12" s="37">
        <f t="shared" si="0"/>
        <v>6.5548659999999996</v>
      </c>
      <c r="C12" s="33"/>
      <c r="D12" s="37">
        <f>IF(ISERROR(TER_rest_gas_kWh/1000),0,TER_rest_gas_kWh/1000)*0.903</f>
        <v>0</v>
      </c>
      <c r="E12" s="33">
        <f>$C$32*'E Balans VL '!I8/100/3.6*1000000</f>
        <v>2.6040067423077618E-2</v>
      </c>
      <c r="F12" s="33">
        <f>$C$32*('E Balans VL '!L8+'E Balans VL '!N8)/100/3.6*1000000</f>
        <v>1.2971970860008093</v>
      </c>
      <c r="G12" s="34"/>
      <c r="H12" s="33"/>
      <c r="I12" s="33"/>
      <c r="J12" s="33">
        <f>$C$32*('E Balans VL '!D8+'E Balans VL '!E8)/100/3.6*1000000</f>
        <v>1.324865058881953E-5</v>
      </c>
      <c r="K12" s="33"/>
      <c r="L12" s="33"/>
      <c r="M12" s="33"/>
      <c r="N12" s="33">
        <f>$C$32*'E Balans VL '!Y8/100/3.6*1000000</f>
        <v>0.48525962478589357</v>
      </c>
      <c r="O12" s="33"/>
      <c r="P12" s="33"/>
      <c r="R12" s="32"/>
    </row>
    <row r="13" spans="1:18">
      <c r="A13" s="16" t="s">
        <v>473</v>
      </c>
      <c r="B13" s="243">
        <f ca="1">'lokale energieproductie'!N38+'lokale energieproductie'!N31</f>
        <v>10552.5</v>
      </c>
      <c r="C13" s="243">
        <f ca="1">'lokale energieproductie'!O38+'lokale energieproductie'!O31</f>
        <v>15075</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-30150.000000000004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20933.519396000003</v>
      </c>
      <c r="C16" s="21">
        <f t="shared" ca="1" si="1"/>
        <v>15075</v>
      </c>
      <c r="D16" s="21">
        <f t="shared" ca="1" si="1"/>
        <v>5072.0804124899996</v>
      </c>
      <c r="E16" s="21">
        <f t="shared" si="1"/>
        <v>50.848984638114878</v>
      </c>
      <c r="F16" s="21">
        <f t="shared" ca="1" si="1"/>
        <v>2111.7970192487883</v>
      </c>
      <c r="G16" s="21">
        <f t="shared" si="1"/>
        <v>0</v>
      </c>
      <c r="H16" s="21">
        <f t="shared" si="1"/>
        <v>0</v>
      </c>
      <c r="I16" s="21">
        <f t="shared" si="1"/>
        <v>0</v>
      </c>
      <c r="J16" s="21">
        <f t="shared" si="1"/>
        <v>2.2273188092302894E-2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0.13285131536774367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2781.0455870347755</v>
      </c>
      <c r="C20" s="23">
        <f t="shared" ref="C20:P20" ca="1" si="2">C16*C18</f>
        <v>0</v>
      </c>
      <c r="D20" s="23">
        <f t="shared" ca="1" si="2"/>
        <v>1024.5602433229799</v>
      </c>
      <c r="E20" s="23">
        <f t="shared" si="2"/>
        <v>11.542719512852077</v>
      </c>
      <c r="F20" s="23">
        <f t="shared" ca="1" si="2"/>
        <v>563.84980413942651</v>
      </c>
      <c r="G20" s="23">
        <f t="shared" si="2"/>
        <v>0</v>
      </c>
      <c r="H20" s="23">
        <f t="shared" si="2"/>
        <v>0</v>
      </c>
      <c r="I20" s="23">
        <f t="shared" si="2"/>
        <v>0</v>
      </c>
      <c r="J20" s="23">
        <f t="shared" si="2"/>
        <v>7.8847085846752239E-3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1344.4853519999999</v>
      </c>
      <c r="C26" s="39">
        <f>IF(ISERROR(B26*3.6/1000000/'E Balans VL '!Z12*100),0,B26*3.6/1000000/'E Balans VL '!Z12*100)</f>
        <v>3.7918047303874644E-2</v>
      </c>
      <c r="D26" s="233" t="s">
        <v>691</v>
      </c>
      <c r="F26" s="6"/>
    </row>
    <row r="27" spans="1:18">
      <c r="A27" s="228" t="s">
        <v>52</v>
      </c>
      <c r="B27" s="33">
        <f>IF(ISERROR(TER_horeca_ele_kWh/1000),0,TER_horeca_ele_kWh/1000)</f>
        <v>649.61502399999995</v>
      </c>
      <c r="C27" s="39">
        <f>IF(ISERROR(B27*3.6/1000000/'E Balans VL '!Z9*100),0,B27*3.6/1000000/'E Balans VL '!Z9*100)</f>
        <v>4.8160973718706195E-2</v>
      </c>
      <c r="D27" s="233" t="s">
        <v>691</v>
      </c>
      <c r="F27" s="6"/>
    </row>
    <row r="28" spans="1:18">
      <c r="A28" s="168" t="s">
        <v>51</v>
      </c>
      <c r="B28" s="33">
        <f>IF(ISERROR(TER_handel_ele_kWh/1000),0,TER_handel_ele_kWh/1000)</f>
        <v>5183.9677489999995</v>
      </c>
      <c r="C28" s="39">
        <f>IF(ISERROR(B28*3.6/1000000/'E Balans VL '!Z13*100),0,B28*3.6/1000000/'E Balans VL '!Z13*100)</f>
        <v>0.15529934841654019</v>
      </c>
      <c r="D28" s="233" t="s">
        <v>691</v>
      </c>
      <c r="F28" s="6"/>
    </row>
    <row r="29" spans="1:18">
      <c r="A29" s="228" t="s">
        <v>50</v>
      </c>
      <c r="B29" s="33">
        <f>IF(ISERROR(TER_gezond_ele_kWh/1000),0,TER_gezond_ele_kWh/1000)</f>
        <v>592.74713699999995</v>
      </c>
      <c r="C29" s="39">
        <f>IF(ISERROR(B29*3.6/1000000/'E Balans VL '!Z10*100),0,B29*3.6/1000000/'E Balans VL '!Z10*100)</f>
        <v>5.8611069232681182E-2</v>
      </c>
      <c r="D29" s="233" t="s">
        <v>691</v>
      </c>
      <c r="F29" s="6"/>
    </row>
    <row r="30" spans="1:18">
      <c r="A30" s="228" t="s">
        <v>49</v>
      </c>
      <c r="B30" s="33">
        <f>IF(ISERROR(TER_ander_ele_kWh/1000),0,TER_ander_ele_kWh/1000)</f>
        <v>2253.9838920000002</v>
      </c>
      <c r="C30" s="39">
        <f>IF(ISERROR(B30*3.6/1000000/'E Balans VL '!Z14*100),0,B30*3.6/1000000/'E Balans VL '!Z14*100)</f>
        <v>9.1166987474596894E-2</v>
      </c>
      <c r="D30" s="233" t="s">
        <v>691</v>
      </c>
      <c r="F30" s="6"/>
    </row>
    <row r="31" spans="1:18">
      <c r="A31" s="228" t="s">
        <v>54</v>
      </c>
      <c r="B31" s="33">
        <f>IF(ISERROR(TER_onderwijs_ele_kWh/1000),0,TER_onderwijs_ele_kWh/1000)</f>
        <v>349.66537599999998</v>
      </c>
      <c r="C31" s="39">
        <f>IF(ISERROR(B31*3.6/1000000/'E Balans VL '!Z11*100),0,B31*3.6/1000000/'E Balans VL '!Z11*100)</f>
        <v>9.6068371275154607E-2</v>
      </c>
      <c r="D31" s="233" t="s">
        <v>691</v>
      </c>
    </row>
    <row r="32" spans="1:18">
      <c r="A32" s="228" t="s">
        <v>255</v>
      </c>
      <c r="B32" s="33">
        <f>IF(ISERROR(TER_rest_ele_kWh/1000),0,TER_rest_ele_kWh/1000)</f>
        <v>6.5548659999999996</v>
      </c>
      <c r="C32" s="39">
        <f>IF(ISERROR(B32*3.6/1000000/'E Balans VL '!Z8*100),0,B32*3.6/1000000/'E Balans VL '!Z8*100)</f>
        <v>5.4260685005404219E-5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608.22917100000006</v>
      </c>
      <c r="C5" s="17">
        <f>IF(ISERROR('Eigen informatie GS &amp; warmtenet'!B61),0,'Eigen informatie GS &amp; warmtenet'!B61)</f>
        <v>0</v>
      </c>
      <c r="D5" s="30">
        <f>SUM(D6:D15)</f>
        <v>623.09612198399986</v>
      </c>
      <c r="E5" s="17">
        <f>SUM(E6:E15)</f>
        <v>2.0055573027146423</v>
      </c>
      <c r="F5" s="17">
        <f>SUM(F6:F15)</f>
        <v>245.30963445727264</v>
      </c>
      <c r="G5" s="18"/>
      <c r="H5" s="17"/>
      <c r="I5" s="17"/>
      <c r="J5" s="17">
        <f>SUM(J6:J15)</f>
        <v>7.5362350557149863E-2</v>
      </c>
      <c r="K5" s="17"/>
      <c r="L5" s="17"/>
      <c r="M5" s="17"/>
      <c r="N5" s="17">
        <f>SUM(N6:N15)</f>
        <v>21.291223969685262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58.648780000000002</v>
      </c>
      <c r="C8" s="33"/>
      <c r="D8" s="37">
        <f>IF( ISERROR(IND_metaal_Gas_kWH/1000),0,IND_metaal_Gas_kWH/1000)*0.903</f>
        <v>0</v>
      </c>
      <c r="E8" s="33">
        <f>C30*'E Balans VL '!I18/100/3.6*1000000</f>
        <v>0.29571738175959394</v>
      </c>
      <c r="F8" s="33">
        <f>C30*'E Balans VL '!L18/100/3.6*1000000+C30*'E Balans VL '!N18/100/3.6*1000000</f>
        <v>4.0070044955097375</v>
      </c>
      <c r="G8" s="34"/>
      <c r="H8" s="33"/>
      <c r="I8" s="33"/>
      <c r="J8" s="40">
        <f>C30*'E Balans VL '!D18/100/3.6*1000000+C30*'E Balans VL '!E18/100/3.6*1000000</f>
        <v>5.199714627538253E-2</v>
      </c>
      <c r="K8" s="33"/>
      <c r="L8" s="33"/>
      <c r="M8" s="33"/>
      <c r="N8" s="33">
        <f>C30*'E Balans VL '!Y18/100/3.6*1000000</f>
        <v>0.7794426342527857</v>
      </c>
      <c r="O8" s="33"/>
      <c r="P8" s="33"/>
      <c r="R8" s="32"/>
    </row>
    <row r="9" spans="1:18">
      <c r="A9" s="6" t="s">
        <v>32</v>
      </c>
      <c r="B9" s="37">
        <f t="shared" si="0"/>
        <v>389.345191</v>
      </c>
      <c r="C9" s="33"/>
      <c r="D9" s="37">
        <f>IF( ISERROR(IND_andere_gas_kWh/1000),0,IND_andere_gas_kWh/1000)*0.903</f>
        <v>524.8337650709999</v>
      </c>
      <c r="E9" s="33">
        <f>C31*'E Balans VL '!I19/100/3.6*1000000</f>
        <v>1.2273080611614298</v>
      </c>
      <c r="F9" s="33">
        <f>C31*'E Balans VL '!L19/100/3.6*1000000+C31*'E Balans VL '!N19/100/3.6*1000000</f>
        <v>238.34075057317463</v>
      </c>
      <c r="G9" s="34"/>
      <c r="H9" s="33"/>
      <c r="I9" s="33"/>
      <c r="J9" s="40">
        <f>C31*'E Balans VL '!D19/100/3.6*1000000+C31*'E Balans VL '!E19/100/3.6*1000000</f>
        <v>0</v>
      </c>
      <c r="K9" s="33"/>
      <c r="L9" s="33"/>
      <c r="M9" s="33"/>
      <c r="N9" s="33">
        <f>C31*'E Balans VL '!Y19/100/3.6*1000000</f>
        <v>16.325772519653452</v>
      </c>
      <c r="O9" s="33"/>
      <c r="P9" s="33"/>
      <c r="R9" s="32"/>
    </row>
    <row r="10" spans="1:18">
      <c r="A10" s="6" t="s">
        <v>40</v>
      </c>
      <c r="B10" s="37">
        <f t="shared" si="0"/>
        <v>126.571495</v>
      </c>
      <c r="C10" s="33"/>
      <c r="D10" s="37">
        <f>IF( ISERROR(IND_voed_gas_kWh/1000),0,IND_voed_gas_kWh/1000)*0.903</f>
        <v>0</v>
      </c>
      <c r="E10" s="33">
        <f>C32*'E Balans VL '!I20/100/3.6*1000000</f>
        <v>0.20171941628559101</v>
      </c>
      <c r="F10" s="33">
        <f>C32*'E Balans VL '!L20/100/3.6*1000000+C32*'E Balans VL '!N20/100/3.6*1000000</f>
        <v>2.0564793167348583</v>
      </c>
      <c r="G10" s="34"/>
      <c r="H10" s="33"/>
      <c r="I10" s="33"/>
      <c r="J10" s="40">
        <f>C32*'E Balans VL '!D20/100/3.6*1000000+C32*'E Balans VL '!E20/100/3.6*1000000</f>
        <v>0</v>
      </c>
      <c r="K10" s="33"/>
      <c r="L10" s="33"/>
      <c r="M10" s="33"/>
      <c r="N10" s="33">
        <f>C32*'E Balans VL '!Y20/100/3.6*1000000</f>
        <v>3.9977599572206737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22.522912000000002</v>
      </c>
      <c r="C13" s="33"/>
      <c r="D13" s="37">
        <f>IF( ISERROR(IND_papier_gas_kWh/1000),0,IND_papier_gas_kWh/1000)*0.903</f>
        <v>0</v>
      </c>
      <c r="E13" s="33">
        <f>C35*'E Balans VL '!I23/100/3.6*1000000</f>
        <v>0</v>
      </c>
      <c r="F13" s="33">
        <f>C35*'E Balans VL '!L23/100/3.6*1000000+C35*'E Balans VL '!N23/100/3.6*1000000</f>
        <v>9.7579727667490383E-4</v>
      </c>
      <c r="G13" s="34"/>
      <c r="H13" s="33"/>
      <c r="I13" s="33"/>
      <c r="J13" s="40">
        <f>C35*'E Balans VL '!D23/100/3.6*1000000+C35*'E Balans VL '!E23/100/3.6*1000000</f>
        <v>6.20613643269368E-4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11.140793</v>
      </c>
      <c r="C15" s="33"/>
      <c r="D15" s="37">
        <f>IF( ISERROR(IND_rest_gas_kWh/1000),0,IND_rest_gas_kWh/1000)*0.903</f>
        <v>98.262356913000005</v>
      </c>
      <c r="E15" s="33">
        <f>C37*'E Balans VL '!I15/100/3.6*1000000</f>
        <v>0.28081244350802731</v>
      </c>
      <c r="F15" s="33">
        <f>C37*'E Balans VL '!L15/100/3.6*1000000+C37*'E Balans VL '!N15/100/3.6*1000000</f>
        <v>0.90442427457673746</v>
      </c>
      <c r="G15" s="34"/>
      <c r="H15" s="33"/>
      <c r="I15" s="33"/>
      <c r="J15" s="40">
        <f>C37*'E Balans VL '!D15/100/3.6*1000000+C37*'E Balans VL '!E15/100/3.6*1000000</f>
        <v>2.2744590638497965E-2</v>
      </c>
      <c r="K15" s="33"/>
      <c r="L15" s="33"/>
      <c r="M15" s="33"/>
      <c r="N15" s="33">
        <f>C37*'E Balans VL '!Y15/100/3.6*1000000</f>
        <v>0.18824885855835291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608.22917100000006</v>
      </c>
      <c r="C18" s="21">
        <f>C5+C16</f>
        <v>0</v>
      </c>
      <c r="D18" s="21">
        <f>MAX((D5+D16),0)</f>
        <v>623.09612198399986</v>
      </c>
      <c r="E18" s="21">
        <f>MAX((E5+E16),0)</f>
        <v>2.0055573027146423</v>
      </c>
      <c r="F18" s="21">
        <f>MAX((F5+F16),0)</f>
        <v>245.30963445727264</v>
      </c>
      <c r="G18" s="21"/>
      <c r="H18" s="21"/>
      <c r="I18" s="21"/>
      <c r="J18" s="21">
        <f>MAX((J5+J16),0)</f>
        <v>7.5362350557149863E-2</v>
      </c>
      <c r="K18" s="21"/>
      <c r="L18" s="21">
        <f>MAX((L5+L16),0)</f>
        <v>0</v>
      </c>
      <c r="M18" s="21"/>
      <c r="N18" s="21">
        <f>MAX((N5+N16),0)</f>
        <v>21.291223969685262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0.13285131536774367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80.804045412382294</v>
      </c>
      <c r="C22" s="23">
        <f ca="1">C18*C20</f>
        <v>0</v>
      </c>
      <c r="D22" s="23">
        <f>D18*D20</f>
        <v>125.86541664076798</v>
      </c>
      <c r="E22" s="23">
        <f>E18*E20</f>
        <v>0.45526150771622381</v>
      </c>
      <c r="F22" s="23">
        <f>F18*F20</f>
        <v>65.497672400091801</v>
      </c>
      <c r="G22" s="23"/>
      <c r="H22" s="23"/>
      <c r="I22" s="23"/>
      <c r="J22" s="23">
        <f>J18*J20</f>
        <v>2.6678272097231049E-2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58.648780000000002</v>
      </c>
      <c r="C30" s="39">
        <f>IF(ISERROR(B30*3.6/1000000/'E Balans VL '!Z18*100),0,B30*3.6/1000000/'E Balans VL '!Z18*100)</f>
        <v>2.9111932595859502E-3</v>
      </c>
      <c r="D30" s="233" t="s">
        <v>691</v>
      </c>
    </row>
    <row r="31" spans="1:18">
      <c r="A31" s="6" t="s">
        <v>32</v>
      </c>
      <c r="B31" s="37">
        <f>IF( ISERROR(IND_ander_ele_kWh/1000),0,IND_ander_ele_kWh/1000)</f>
        <v>389.345191</v>
      </c>
      <c r="C31" s="39">
        <f>IF(ISERROR(B31*3.6/1000000/'E Balans VL '!Z19*100),0,B31*3.6/1000000/'E Balans VL '!Z19*100)</f>
        <v>1.3138405068042718E-2</v>
      </c>
      <c r="D31" s="233" t="s">
        <v>691</v>
      </c>
    </row>
    <row r="32" spans="1:18">
      <c r="A32" s="168" t="s">
        <v>40</v>
      </c>
      <c r="B32" s="37">
        <f>IF( ISERROR(IND_voed_ele_kWh/1000),0,IND_voed_ele_kWh/1000)</f>
        <v>126.571495</v>
      </c>
      <c r="C32" s="39">
        <f>IF(ISERROR(B32*3.6/1000000/'E Balans VL '!Z20*100),0,B32*3.6/1000000/'E Balans VL '!Z20*100)</f>
        <v>2.9724446156198766E-3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22.522912000000002</v>
      </c>
      <c r="C35" s="39">
        <f>IF(ISERROR(B35*3.6/1000000/'E Balans VL '!Z22*100),0,B35*3.6/1000000/'E Balans VL '!Z22*100)</f>
        <v>3.1953426101716457E-3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11.140793</v>
      </c>
      <c r="C37" s="39">
        <f>IF(ISERROR(B37*3.6/1000000/'E Balans VL '!Z15*100),0,B37*3.6/1000000/'E Balans VL '!Z15*100)</f>
        <v>4.1750447108616113E-5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2386.3431060000003</v>
      </c>
      <c r="C5" s="17">
        <f>'Eigen informatie GS &amp; warmtenet'!B62</f>
        <v>0</v>
      </c>
      <c r="D5" s="30">
        <f>IF(ISERROR(SUM(LB_lb_gas_kWh,LB_rest_gas_kWh)/1000),0,SUM(LB_lb_gas_kWh,LB_rest_gas_kWh)/1000)*0.903</f>
        <v>251.43128207399999</v>
      </c>
      <c r="E5" s="17">
        <f>B17*'E Balans VL '!I25/3.6*1000000/100</f>
        <v>88.994033725599778</v>
      </c>
      <c r="F5" s="17">
        <f>B17*('E Balans VL '!L25/3.6*1000000+'E Balans VL '!N25/3.6*1000000)/100</f>
        <v>7742.2191551375963</v>
      </c>
      <c r="G5" s="18"/>
      <c r="H5" s="17"/>
      <c r="I5" s="17"/>
      <c r="J5" s="17">
        <f>('E Balans VL '!D25+'E Balans VL '!E25)/3.6*1000000*landbouw!B17/100</f>
        <v>626.42684647930309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2386.3431060000003</v>
      </c>
      <c r="C8" s="21">
        <f>C5+C6</f>
        <v>0</v>
      </c>
      <c r="D8" s="21">
        <f>MAX((D5+D6),0)</f>
        <v>251.43128207399999</v>
      </c>
      <c r="E8" s="21">
        <f>MAX((E5+E6),0)</f>
        <v>88.994033725599778</v>
      </c>
      <c r="F8" s="21">
        <f>MAX((F5+F6),0)</f>
        <v>7742.2191551375963</v>
      </c>
      <c r="G8" s="21"/>
      <c r="H8" s="21"/>
      <c r="I8" s="21"/>
      <c r="J8" s="21">
        <f>MAX((J5+J6),0)</f>
        <v>626.42684647930309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0.13285131536774367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317.028820550847</v>
      </c>
      <c r="C12" s="23">
        <f ca="1">C8*C10</f>
        <v>0</v>
      </c>
      <c r="D12" s="23">
        <f>D8*D10</f>
        <v>50.789118978948004</v>
      </c>
      <c r="E12" s="23">
        <f>E8*E10</f>
        <v>20.20164565571115</v>
      </c>
      <c r="F12" s="23">
        <f>F8*F10</f>
        <v>2067.1725144217385</v>
      </c>
      <c r="G12" s="23"/>
      <c r="H12" s="23"/>
      <c r="I12" s="23"/>
      <c r="J12" s="23">
        <f>J8*J10</f>
        <v>221.75510365367327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0.32775799840296571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99.680087594642714</v>
      </c>
      <c r="C26" s="243">
        <f>B26*'GWP N2O_CH4'!B5</f>
        <v>2093.2818394874971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57.209518775915633</v>
      </c>
      <c r="C27" s="243">
        <f>B27*'GWP N2O_CH4'!B5</f>
        <v>1201.3998942942283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3.0392232447066792</v>
      </c>
      <c r="C28" s="243">
        <f>B28*'GWP N2O_CH4'!B4</f>
        <v>942.15920585907054</v>
      </c>
      <c r="D28" s="50"/>
    </row>
    <row r="29" spans="1:4">
      <c r="A29" s="41" t="s">
        <v>272</v>
      </c>
      <c r="B29" s="243">
        <f>B34*'ha_N2O bodem landbouw'!B4</f>
        <v>19.59393239702413</v>
      </c>
      <c r="C29" s="243">
        <f>B29*'GWP N2O_CH4'!B4</f>
        <v>6074.1190430774805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4.4655131498666399E-3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2.5618143459735389E-4</v>
      </c>
      <c r="C5" s="434" t="s">
        <v>210</v>
      </c>
      <c r="D5" s="419">
        <f>SUM(D6:D11)</f>
        <v>5.2073275989104775E-4</v>
      </c>
      <c r="E5" s="419">
        <f>SUM(E6:E11)</f>
        <v>2.8144607829825089E-4</v>
      </c>
      <c r="F5" s="432" t="s">
        <v>210</v>
      </c>
      <c r="G5" s="419">
        <f>SUM(G6:G11)</f>
        <v>0.10384421380610899</v>
      </c>
      <c r="H5" s="419">
        <f>SUM(H6:H11)</f>
        <v>3.1468562081697057E-2</v>
      </c>
      <c r="I5" s="434" t="s">
        <v>210</v>
      </c>
      <c r="J5" s="434" t="s">
        <v>210</v>
      </c>
      <c r="K5" s="434" t="s">
        <v>210</v>
      </c>
      <c r="L5" s="434" t="s">
        <v>210</v>
      </c>
      <c r="M5" s="419">
        <f>SUM(M6:M11)</f>
        <v>8.034169941420621E-3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1.0066234416841937E-4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1.749195040574633E-4</v>
      </c>
      <c r="E6" s="885">
        <f>vkm_GW_PW*SUMIFS(TableVerdeelsleutelVkm[LPG],TableVerdeelsleutelVkm[Voertuigtype],"Lichte voertuigen")*SUMIFS(TableECFTransport[EnergieConsumptieFactor (PJ per km)],TableECFTransport[Index],CONCATENATE($A6,"_LPG_LPG"))</f>
        <v>9.7266654794329259E-5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2.9229554571509699E-2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1.0657193312049822E-2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2.3865227151587229E-3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3.6247995643574387E-7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1.5002138400830841E-2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1.5261925507800514E-7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8.4464352081085067E-4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1.549938249347038E-4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3.458132558335844E-4</v>
      </c>
      <c r="E8" s="422">
        <f>vkm_NGW_PW*SUMIFS(TableVerdeelsleutelVkm[LPG],TableVerdeelsleutelVkm[Voertuigtype],"Lichte voertuigen")*SUMIFS(TableECFTransport[EnergieConsumptieFactor (PJ per km)],TableECFTransport[Index],CONCATENATE($A8,"_LPG_LPG"))</f>
        <v>1.8417942350392163E-4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5.0936465889925946E-2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2.0811133421425945E-2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4.3145288209271394E-3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1.6278553779495585E-7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8.6760549438425049E-3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8.2728966210064814E-8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4.8847488452390868E-4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71.161509610376086</v>
      </c>
      <c r="C14" s="21"/>
      <c r="D14" s="21">
        <f t="shared" ref="D14:M14" si="0">((D5)*10^9/3600)+D12</f>
        <v>144.64798885862436</v>
      </c>
      <c r="E14" s="21">
        <f t="shared" si="0"/>
        <v>78.179466193958589</v>
      </c>
      <c r="F14" s="21"/>
      <c r="G14" s="21">
        <f t="shared" si="0"/>
        <v>28845.614946141388</v>
      </c>
      <c r="H14" s="21">
        <f t="shared" si="0"/>
        <v>8741.267244915849</v>
      </c>
      <c r="I14" s="21"/>
      <c r="J14" s="21"/>
      <c r="K14" s="21"/>
      <c r="L14" s="21"/>
      <c r="M14" s="21">
        <f t="shared" si="0"/>
        <v>2231.7138726168391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0.13285131536774367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9.4539001552927946</v>
      </c>
      <c r="C18" s="23"/>
      <c r="D18" s="23">
        <f t="shared" ref="D18:M18" si="1">D14*D16</f>
        <v>29.218893749442124</v>
      </c>
      <c r="E18" s="23">
        <f t="shared" si="1"/>
        <v>17.746738826028601</v>
      </c>
      <c r="F18" s="23"/>
      <c r="G18" s="23">
        <f t="shared" si="1"/>
        <v>7701.7791906197508</v>
      </c>
      <c r="H18" s="23">
        <f t="shared" si="1"/>
        <v>2176.5755439840464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4.9003913484718937E-5</v>
      </c>
      <c r="C50" s="315">
        <f t="shared" ref="C50:P50" si="2">SUM(C51:C52)</f>
        <v>0</v>
      </c>
      <c r="D50" s="315">
        <f t="shared" si="2"/>
        <v>0</v>
      </c>
      <c r="E50" s="315">
        <f t="shared" si="2"/>
        <v>0</v>
      </c>
      <c r="F50" s="315">
        <f t="shared" si="2"/>
        <v>0</v>
      </c>
      <c r="G50" s="315">
        <f t="shared" si="2"/>
        <v>3.4978110021541453E-3</v>
      </c>
      <c r="H50" s="315">
        <f t="shared" si="2"/>
        <v>0</v>
      </c>
      <c r="I50" s="315">
        <f t="shared" si="2"/>
        <v>0</v>
      </c>
      <c r="J50" s="315">
        <f t="shared" si="2"/>
        <v>0</v>
      </c>
      <c r="K50" s="315">
        <f t="shared" si="2"/>
        <v>0</v>
      </c>
      <c r="L50" s="315">
        <f t="shared" si="2"/>
        <v>0</v>
      </c>
      <c r="M50" s="315">
        <f t="shared" si="2"/>
        <v>1.9314420508336126E-4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4.9003913484718937E-5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3.4978110021541453E-3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1.9314420508336126E-4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13.612198190199704</v>
      </c>
      <c r="C54" s="21">
        <f t="shared" ref="C54:P54" si="3">(C50)*10^9/3600</f>
        <v>0</v>
      </c>
      <c r="D54" s="21">
        <f t="shared" si="3"/>
        <v>0</v>
      </c>
      <c r="E54" s="21">
        <f t="shared" si="3"/>
        <v>0</v>
      </c>
      <c r="F54" s="21">
        <f t="shared" si="3"/>
        <v>0</v>
      </c>
      <c r="G54" s="21">
        <f t="shared" si="3"/>
        <v>971.61416726504035</v>
      </c>
      <c r="H54" s="21">
        <f t="shared" si="3"/>
        <v>0</v>
      </c>
      <c r="I54" s="21">
        <f t="shared" si="3"/>
        <v>0</v>
      </c>
      <c r="J54" s="21">
        <f t="shared" si="3"/>
        <v>0</v>
      </c>
      <c r="K54" s="21">
        <f t="shared" si="3"/>
        <v>0</v>
      </c>
      <c r="L54" s="21">
        <f t="shared" si="3"/>
        <v>0</v>
      </c>
      <c r="M54" s="21">
        <f t="shared" si="3"/>
        <v>53.651168078711457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0.13285131536774367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1.8083984346144506</v>
      </c>
      <c r="C58" s="23">
        <f t="shared" ref="C58:P58" ca="1" si="4">C54*C56</f>
        <v>0</v>
      </c>
      <c r="D58" s="23">
        <f t="shared" si="4"/>
        <v>0</v>
      </c>
      <c r="E58" s="23">
        <f t="shared" si="4"/>
        <v>0</v>
      </c>
      <c r="F58" s="23">
        <f t="shared" si="4"/>
        <v>0</v>
      </c>
      <c r="G58" s="23">
        <f t="shared" si="4"/>
        <v>259.4209826597658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5397.0274431512489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10552.5</v>
      </c>
      <c r="C8" s="544">
        <f>B48</f>
        <v>0</v>
      </c>
      <c r="D8" s="545"/>
      <c r="E8" s="545">
        <f>E48</f>
        <v>0</v>
      </c>
      <c r="F8" s="546"/>
      <c r="G8" s="547"/>
      <c r="H8" s="545">
        <f>I48</f>
        <v>0</v>
      </c>
      <c r="I8" s="545">
        <f>G48+F48</f>
        <v>0</v>
      </c>
      <c r="J8" s="545">
        <f>H48+D48+C48</f>
        <v>12414.705882352942</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15949.527443151248</v>
      </c>
      <c r="C10" s="559">
        <f t="shared" ref="C10:L10" si="0">SUM(C8:C9)</f>
        <v>0</v>
      </c>
      <c r="D10" s="559">
        <f t="shared" si="0"/>
        <v>0</v>
      </c>
      <c r="E10" s="559">
        <f t="shared" si="0"/>
        <v>0</v>
      </c>
      <c r="F10" s="559">
        <f t="shared" si="0"/>
        <v>0</v>
      </c>
      <c r="G10" s="559">
        <f t="shared" si="0"/>
        <v>0</v>
      </c>
      <c r="H10" s="559">
        <f t="shared" si="0"/>
        <v>0</v>
      </c>
      <c r="I10" s="559">
        <f t="shared" si="0"/>
        <v>0</v>
      </c>
      <c r="J10" s="559">
        <f t="shared" si="0"/>
        <v>12414.705882352942</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15075</v>
      </c>
      <c r="C17" s="575">
        <f>B49</f>
        <v>0</v>
      </c>
      <c r="D17" s="576"/>
      <c r="E17" s="576">
        <f>E49</f>
        <v>0</v>
      </c>
      <c r="F17" s="577"/>
      <c r="G17" s="578"/>
      <c r="H17" s="575">
        <f>I49</f>
        <v>0</v>
      </c>
      <c r="I17" s="576">
        <f>G49+F49</f>
        <v>0</v>
      </c>
      <c r="J17" s="576">
        <f>H49+D49+C49</f>
        <v>17735.294117647063</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15075</v>
      </c>
      <c r="C20" s="558">
        <f>SUM(C17:C19)</f>
        <v>0</v>
      </c>
      <c r="D20" s="558">
        <f t="shared" ref="D20:L20" si="1">SUM(D17:D19)</f>
        <v>0</v>
      </c>
      <c r="E20" s="558">
        <f t="shared" si="1"/>
        <v>0</v>
      </c>
      <c r="F20" s="558">
        <f t="shared" si="1"/>
        <v>0</v>
      </c>
      <c r="G20" s="558">
        <f t="shared" si="1"/>
        <v>0</v>
      </c>
      <c r="H20" s="558">
        <f t="shared" si="1"/>
        <v>0</v>
      </c>
      <c r="I20" s="558">
        <f t="shared" si="1"/>
        <v>0</v>
      </c>
      <c r="J20" s="558">
        <f t="shared" si="1"/>
        <v>17735.294117647063</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24130</v>
      </c>
      <c r="C28" s="786">
        <v>3440</v>
      </c>
      <c r="D28" s="636" t="s">
        <v>883</v>
      </c>
      <c r="E28" s="635" t="s">
        <v>884</v>
      </c>
      <c r="F28" s="635" t="s">
        <v>885</v>
      </c>
      <c r="G28" s="635" t="s">
        <v>886</v>
      </c>
      <c r="H28" s="635" t="s">
        <v>887</v>
      </c>
      <c r="I28" s="635" t="s">
        <v>884</v>
      </c>
      <c r="J28" s="785">
        <v>39744</v>
      </c>
      <c r="K28" s="785">
        <v>39750</v>
      </c>
      <c r="L28" s="635" t="s">
        <v>888</v>
      </c>
      <c r="M28" s="635">
        <v>2345</v>
      </c>
      <c r="N28" s="635">
        <v>10552.5</v>
      </c>
      <c r="O28" s="635">
        <v>15075</v>
      </c>
      <c r="P28" s="635">
        <v>0</v>
      </c>
      <c r="Q28" s="635">
        <v>30150.000000000004</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2345</v>
      </c>
      <c r="N29" s="593">
        <f>SUM(N28:N28)</f>
        <v>10552.5</v>
      </c>
      <c r="O29" s="593">
        <f>SUM(O28:O28)</f>
        <v>15075</v>
      </c>
      <c r="P29" s="593">
        <f>SUM(P28:P28)</f>
        <v>0</v>
      </c>
      <c r="Q29" s="593">
        <f>SUM(Q28:Q28)</f>
        <v>30150.000000000004</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2345</v>
      </c>
      <c r="N31" s="593">
        <f ca="1">SUMIF($Z$28:AD28,"tertiair",N28:N28)</f>
        <v>10552.5</v>
      </c>
      <c r="O31" s="593">
        <f ca="1">SUMIF($Z$28:AE28,"tertiair",O28:O28)</f>
        <v>15075</v>
      </c>
      <c r="P31" s="593">
        <f ca="1">SUMIF($Z$28:AF28,"tertiair",P28:P28)</f>
        <v>0</v>
      </c>
      <c r="Q31" s="593">
        <f ca="1">SUMIF($Z$28:AG28,"tertiair",Q28:Q28)</f>
        <v>30150.000000000004</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12414.705882352942</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17735.294117647063</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2021-06-29T14:29:44Z</dcterms:modified>
</cp:coreProperties>
</file>