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2" i="13"/>
  <c r="B35" i="13"/>
  <c r="B33"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<sst xmlns="http://schemas.openxmlformats.org/spreadsheetml/2006/main" count="2457" uniqueCount="890">
  <si>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</si>
  <si>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</si>
  <si>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</si>
  <si>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</si>
  <si>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</si>
  <si>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</si>
  <si>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</si>
  <si>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</si>
  <si>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</si>
  <si>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</si>
  <si>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</si>
  <si>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</si>
  <si>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</si>
  <si>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</si>
  <si>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</si>
  <si>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</si>
  <si>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</si>
  <si>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</si>
  <si>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</si>
  <si>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</si>
  <si>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</si>
  <si>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</si>
  <si>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</si>
  <si>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</si>
  <si>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</si>
  <si>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</si>
  <si>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</si>
  <si>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</si>
  <si>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</si>
  <si>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</si>
  <si>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</si>
  <si>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</si>
  <si>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</si>
  <si>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</si>
  <si>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</si>
  <si>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</si>
  <si>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</si>
  <si>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</si>
  <si>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</si>
  <si>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</si>
  <si>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</si>
  <si>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</si>
  <si>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</si>
  <si>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</si>
  <si>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</si>
  <si>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</si>
  <si>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</si>
  <si>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</si>
  <si>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</si>
  <si>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</si>
  <si>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</si>
  <si>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</si>
  <si>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</si>
  <si>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</si>
  <si>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</si>
  <si>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</si>
  <si>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</si>
  <si>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</si>
  <si>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</si>
  <si>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</si>
  <si>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</si>
  <si>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</si>
  <si>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</si>
  <si>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</si>
  <si>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</si>
  <si>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</si>
  <si>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</si>
  <si>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</si>
  <si>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</si>
  <si>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</si>
  <si>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</si>
  <si>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</si>
  <si>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</si>
  <si>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</si>
  <si>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</si>
  <si>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</si>
  <si>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</si>
  <si>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</si>
  <si>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</si>
  <si>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</si>
  <si>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</si>
  <si>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</si>
  <si>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</si>
  <si>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</si>
  <si>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</si>
  <si>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</si>
  <si>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</si>
  <si>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</si>
  <si>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</si>
  <si>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</si>
  <si>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</si>
  <si>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</si>
  <si>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</si>
  <si>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</si>
  <si>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</si>
  <si>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</si>
  <si>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</si>
  <si>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</si>
  <si>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</si>
  <si>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</si>
  <si>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</si>
  <si>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</si>
  <si>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</si>
  <si>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</si>
  <si>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</si>
  <si>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</si>
  <si>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</si>
  <si>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</si>
  <si>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</si>
  <si>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</si>
  <si>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</si>
  <si>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</si>
  <si>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</si>
  <si>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</si>
  <si>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</si>
  <si>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</si>
  <si>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</si>
  <si>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</si>
  <si>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</si>
  <si>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</si>
  <si>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</si>
  <si>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</si>
  <si>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</si>
  <si>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</si>
  <si>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</si>
  <si>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</si>
  <si>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</si>
  <si>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</si>
  <si>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</si>
  <si>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</si>
  <si>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</si>
  <si>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</si>
  <si>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</si>
  <si>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</si>
  <si>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</si>
  <si>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</si>
  <si>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</si>
  <si>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</si>
  <si>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</si>
  <si>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</si>
  <si>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</si>
  <si>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</si>
  <si>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</si>
  <si>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</si>
  <si>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</si>
  <si>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</si>
  <si>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</si>
  <si>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</si>
  <si>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</si>
  <si>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</si>
  <si>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</si>
  <si>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</si>
  <si>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</si>
  <si>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</si>
  <si>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</si>
  <si>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</si>
  <si>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</si>
  <si>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</si>
  <si>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</si>
  <si>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</si>
  <si>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</si>
  <si>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</si>
  <si>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</si>
  <si>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</si>
  <si>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</si>
  <si>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</si>
  <si>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</si>
  <si>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</si>
  <si>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</si>
  <si>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</si>
  <si>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</si>
  <si>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</si>
  <si>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</si>
  <si>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</si>
  <si>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</si>
  <si>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</si>
  <si>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</si>
  <si>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</si>
  <si>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</si>
  <si>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</si>
  <si>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</si>
  <si>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</si>
  <si>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</si>
  <si>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</si>
  <si>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</si>
  <si>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</si>
  <si>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</si>
  <si>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</si>
  <si>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</si>
  <si>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</si>
  <si>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</si>
  <si>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</si>
  <si>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</si>
  <si>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</si>
  <si>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</si>
  <si>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</si>
  <si>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</si>
  <si>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</si>
  <si>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</si>
  <si>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</si>
  <si>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</si>
  <si>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</si>
  <si>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</si>
  <si>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</si>
  <si>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</si>
  <si>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</si>
  <si>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</si>
  <si>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</si>
  <si>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</si>
  <si>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</si>
  <si>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</si>
  <si>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</si>
  <si>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</si>
  <si>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</si>
  <si>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</si>
  <si>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</si>
  <si>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</si>
  <si>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</si>
  <si>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</si>
  <si>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</si>
  <si>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</si>
  <si>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</si>
  <si>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</si>
  <si>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</si>
  <si>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</si>
  <si>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</si>
  <si>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</si>
  <si>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</si>
  <si>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</si>
  <si>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</si>
  <si>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</si>
  <si>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</si>
  <si>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</si>
  <si>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</si>
  <si>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</si>
  <si>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</si>
  <si>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</si>
  <si>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</si>
  <si>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</si>
  <si>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</si>
  <si>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</si>
  <si>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</si>
  <si>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</si>
  <si>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</si>
  <si>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</si>
  <si>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</si>
  <si>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</si>
  <si>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</si>
  <si>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</si>
  <si>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</si>
  <si>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</si>
  <si>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</si>
  <si>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</si>
  <si>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</si>
  <si>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</si>
  <si>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</si>
  <si>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</si>
  <si>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</si>
  <si>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</si>
  <si>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</si>
  <si>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</si>
  <si>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</si>
  <si>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</si>
  <si>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</si>
  <si>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</si>
  <si>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</si>
  <si>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</si>
  <si>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</si>
  <si>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</si>
  <si>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</si>
  <si>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</si>
  <si>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</si>
  <si>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</si>
  <si>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</si>
  <si>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</si>
  <si>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</si>
  <si>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</si>
  <si>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</si>
  <si>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</si>
  <si>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</si>
  <si>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</si>
  <si>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</si>
  <si>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</si>
  <si>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</si>
  <si>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</si>
  <si>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</si>
  <si>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</si>
  <si>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</si>
  <si>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</si>
  <si>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</si>
  <si>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</si>
  <si>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</si>
  <si>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</si>
  <si>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</si>
  <si>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</si>
  <si>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</si>
  <si>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</si>
  <si>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</si>
  <si>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</si>
  <si>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</si>
  <si>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</si>
  <si>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</si>
  <si>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</si>
  <si>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</si>
  <si>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</si>
  <si>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</si>
  <si>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</si>
  <si>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</si>
  <si>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</si>
  <si>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</si>
  <si>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</si>
  <si>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</si>
  <si>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</si>
  <si>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</si>
  <si>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</si>
  <si>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</si>
  <si>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</si>
  <si>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</si>
  <si>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</si>
  <si>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</si>
  <si>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</si>
  <si>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</si>
  <si>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</si>
  <si>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</si>
  <si>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</si>
  <si>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</si>
  <si>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</si>
  <si>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</si>
  <si>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</si>
  <si>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</si>
  <si>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</si>
  <si>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</si>
  <si>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</si>
  <si>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</si>
  <si>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</si>
  <si>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</si>
  <si>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</si>
  <si>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</si>
  <si>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</si>
  <si>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</si>
  <si>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</si>
  <si>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</si>
  <si>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</si>
  <si>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</si>
  <si>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</si>
  <si>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</si>
  <si>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</si>
  <si>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</si>
  <si>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</si>
  <si>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</si>
  <si>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</si>
  <si>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</si>
  <si>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</si>
  <si>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</si>
  <si>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</si>
  <si>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</si>
  <si>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</si>
  <si>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</si>
  <si>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</si>
  <si>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</si>
  <si>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</si>
  <si>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</si>
  <si>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</si>
  <si>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</si>
  <si>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</si>
  <si>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</si>
  <si>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</si>
  <si>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</si>
  <si>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</si>
  <si>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</si>
  <si>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</si>
  <si>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</si>
  <si>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</si>
  <si>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</si>
  <si>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</si>
  <si>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</si>
  <si>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</si>
  <si>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</si>
  <si>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</si>
  <si>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</si>
  <si>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</si>
  <si>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</si>
  <si>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</si>
  <si>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</si>
  <si>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</si>
  <si>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</si>
  <si>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</si>
  <si>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</si>
  <si>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</si>
  <si>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</si>
  <si>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</si>
  <si>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</si>
  <si>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</si>
  <si>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</si>
  <si>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</si>
  <si>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</si>
  <si>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</si>
  <si>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</si>
  <si>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</si>
  <si>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</si>
  <si>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</si>
  <si>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</si>
  <si>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</si>
  <si>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</si>
  <si>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</si>
  <si>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</si>
  <si>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</si>
  <si>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</si>
  <si>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</si>
  <si>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</si>
  <si>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</si>
  <si>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</si>
  <si>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</si>
  <si>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</si>
  <si>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</si>
  <si>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</si>
  <si>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</si>
  <si>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</si>
  <si>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</si>
  <si>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</si>
  <si>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</si>
  <si>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</si>
  <si>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</si>
  <si>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</si>
  <si>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</si>
  <si>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</si>
  <si>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</si>
  <si>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</si>
  <si>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</si>
  <si>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</si>
  <si>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</si>
  <si>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</si>
  <si>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</si>
  <si>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</si>
  <si>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</si>
  <si>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</si>
  <si>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</si>
  <si>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</si>
  <si>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</si>
  <si>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</si>
  <si>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</si>
  <si>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</si>
  <si>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</si>
  <si>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</si>
  <si>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</si>
  <si>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</si>
  <si>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</si>
  <si>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</si>
  <si>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</si>
  <si>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</si>
  <si>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</si>
  <si>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</si>
  <si>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</si>
  <si>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</si>
  <si>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</si>
  <si>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</si>
  <si>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</si>
  <si>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</si>
  <si>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</si>
  <si>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</si>
  <si>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</si>
  <si>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</si>
  <si>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</si>
  <si>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</si>
  <si>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</si>
  <si>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</si>
  <si>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</si>
  <si>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</si>
  <si>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</si>
  <si>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</si>
  <si>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</si>
  <si>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</si>
  <si>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</si>
  <si>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</si>
  <si>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</si>
  <si>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</si>
  <si>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</si>
  <si>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</si>
  <si>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</si>
  <si>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</si>
  <si>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</si>
  <si>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</si>
  <si>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</si>
  <si>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</si>
  <si>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</si>
  <si>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</si>
  <si>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</si>
  <si>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</si>
  <si>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</si>
  <si>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</si>
  <si>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</si>
  <si>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</si>
  <si>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</si>
  <si>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</si>
  <si>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</si>
  <si>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</si>
  <si>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</si>
  <si>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</si>
  <si>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</si>
  <si>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</si>
  <si>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</si>
  <si>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</si>
  <si>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</si>
  <si>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</si>
  <si>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</si>
  <si>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</si>
  <si>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</si>
  <si>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</si>
  <si>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</si>
  <si>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</si>
  <si>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</si>
  <si>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</si>
  <si>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</si>
  <si>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</si>
  <si>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</si>
  <si>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</si>
  <si>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</si>
  <si>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</si>
  <si>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</si>
  <si>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</si>
  <si>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</si>
  <si>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</si>
  <si>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</si>
  <si>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</si>
  <si>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</si>
  <si>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</si>
  <si>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</si>
  <si>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</si>
  <si>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</si>
  <si>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</si>
  <si>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</si>
  <si>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</si>
  <si>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</si>
  <si>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</si>
  <si>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</si>
  <si>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</si>
  <si>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</si>
  <si>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</si>
  <si>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</si>
  <si>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</si>
  <si>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</si>
  <si>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</si>
  <si>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</si>
  <si>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</si>
  <si>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</si>
  <si>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</si>
  <si>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</si>
  <si>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</si>
  <si>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</si>
  <si>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</si>
  <si>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</si>
  <si>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</si>
  <si>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</si>
  <si>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</si>
  <si>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</si>
  <si>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</si>
  <si>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</si>
  <si>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</si>
  <si>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</si>
  <si>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</si>
  <si>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</si>
  <si>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</si>
  <si>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</si>
  <si>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</si>
  <si>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</si>
  <si>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</si>
  <si>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</si>
  <si>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</si>
  <si>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</si>
  <si>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</si>
  <si>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</si>
  <si>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</si>
  <si>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</si>
  <si>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</si>
  <si>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</si>
  <si>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</si>
  <si>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</si>
  <si>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</si>
  <si>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</si>
  <si>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</si>
  <si>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</si>
  <si>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</si>
  <si>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</si>
  <si>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</si>
  <si>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</si>
  <si>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</si>
  <si>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</si>
  <si>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</si>
  <si>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</si>
  <si>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</si>
  <si>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</si>
  <si>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</si>
  <si>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</si>
  <si>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</si>
  <si>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</si>
  <si>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</si>
  <si>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</si>
  <si>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</si>
  <si>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</si>
  <si>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</si>
  <si>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</si>
  <si>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</si>
  <si>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</si>
  <si>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</si>
  <si>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</si>
  <si>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</si>
  <si>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</si>
  <si>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</si>
  <si>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</si>
  <si>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</si>
  <si>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</si>
  <si>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</si>
  <si>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</si>
  <si>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</si>
  <si>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</si>
  <si>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</si>
  <si>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</si>
  <si>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</si>
  <si>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</si>
  <si>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</si>
  <si>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</si>
  <si>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</si>
  <si>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</si>
  <si>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</si>
  <si>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</si>
  <si>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</si>
  <si>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</si>
  <si>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</si>
  <si>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</si>
  <si>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</si>
  <si>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</si>
  <si>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</si>
  <si>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</si>
  <si>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</si>
  <si>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</si>
  <si>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</si>
  <si>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</si>
  <si>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</si>
  <si>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</si>
  <si>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</si>
  <si>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</si>
  <si>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</si>
  <si>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</si>
  <si>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</si>
  <si>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</si>
  <si>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</si>
  <si>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</si>
  <si>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</si>
  <si>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</si>
  <si>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</si>
  <si>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</si>
  <si>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</si>
  <si>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</si>
  <si>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</si>
  <si>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</si>
  <si>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</si>
  <si>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</si>
  <si>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</si>
  <si>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</si>
  <si>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</si>
  <si>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</si>
  <si>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</si>
  <si>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</si>
  <si>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</si>
  <si>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</si>
  <si>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</si>
  <si>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</si>
  <si>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</si>
  <si>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</si>
  <si>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</si>
  <si>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</si>
  <si>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</si>
  <si>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</si>
  <si>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</si>
  <si>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</si>
  <si>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</si>
  <si>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</si>
  <si>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</si>
  <si>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</si>
  <si>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</si>
  <si>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</si>
  <si>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</si>
  <si>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</si>
  <si>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</si>
  <si>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</si>
  <si>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</si>
  <si>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</si>
  <si>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</si>
  <si>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</si>
  <si>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</si>
  <si>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</si>
  <si>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</si>
  <si>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</si>
  <si>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</si>
  <si>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</si>
  <si>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</si>
  <si>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</si>
  <si>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</si>
  <si>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</si>
  <si>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</si>
  <si>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</si>
  <si>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</si>
  <si>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</si>
  <si>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</si>
  <si>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</si>
  <si>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</si>
  <si>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</si>
  <si>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</si>
  <si>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</si>
  <si>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</si>
  <si>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</si>
  <si>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</si>
  <si>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</si>
  <si>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</si>
  <si>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</si>
  <si>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</si>
  <si>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</si>
  <si>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</si>
  <si>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</si>
  <si>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</si>
  <si>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</si>
  <si>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</si>
  <si>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</si>
  <si>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</si>
  <si>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</si>
  <si>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</si>
  <si>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</si>
  <si>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</si>
  <si>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</si>
  <si>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</si>
  <si>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</si>
  <si>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</si>
  <si>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</si>
  <si>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</si>
  <si>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</si>
  <si>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</si>
  <si>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</si>
  <si>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</si>
  <si>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</si>
  <si>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</si>
  <si>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</si>
  <si>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</si>
  <si>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</si>
  <si>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</si>
  <si>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</si>
  <si>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</si>
  <si>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</si>
  <si>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</si>
  <si>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</si>
  <si>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</si>
  <si>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</si>
  <si>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</si>
  <si>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</si>
  <si>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</si>
  <si>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</si>
  <si>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</si>
  <si>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</si>
  <si>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</si>
  <si>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</si>
  <si>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</si>
  <si>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</si>
  <si>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</si>
  <si>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</si>
  <si>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</si>
  <si>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</si>
  <si>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</si>
  <si>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</si>
  <si>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</si>
  <si>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</si>
  <si>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</si>
  <si>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</si>
  <si>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</si>
  <si>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</si>
  <si>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</si>
  <si>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</si>
  <si>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</si>
  <si>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</si>
  <si>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</si>
  <si>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</si>
  <si>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</si>
  <si>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</si>
  <si>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</si>
  <si>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</si>
  <si>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</si>
  <si>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</si>
  <si>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</si>
  <si>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</si>
  <si>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</si>
  <si>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</si>
  <si>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</si>
  <si>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</si>
  <si>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</si>
  <si>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</si>
  <si>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</si>
  <si>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</si>
  <si>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</si>
  <si>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</si>
  <si>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</si>
  <si>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</si>
  <si>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</si>
  <si>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</si>
  <si>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</si>
  <si>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</si>
  <si>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</si>
  <si>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</si>
  <si>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</si>
  <si>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</si>
  <si>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</si>
  <si>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</si>
  <si>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</si>
  <si>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</si>
  <si>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</si>
  <si>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</si>
  <si>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</si>
  <si>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</si>
  <si>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</si>
  <si>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</si>
  <si>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</si>
  <si>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</si>
  <si>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</si>
  <si>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</si>
  <si>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</si>
  <si>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</si>
  <si>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</si>
  <si>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</si>
  <si>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</si>
  <si>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</si>
  <si>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</si>
  <si>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</si>
  <si>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</si>
  <si>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</si>
  <si>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</si>
  <si>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</si>
  <si>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</si>
  <si>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</si>
  <si>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</si>
  <si>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</si>
  <si>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</si>
  <si>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</si>
  <si>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</si>
  <si>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</si>
  <si>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</si>
  <si>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</si>
  <si>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</si>
  <si>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</si>
  <si>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</si>
  <si>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</si>
  <si>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</si>
  <si>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</si>
  <si>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</si>
  <si>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</si>
  <si>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</si>
  <si>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</si>
  <si>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</si>
  <si>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</si>
  <si>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</si>
  <si>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</si>
  <si>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</si>
  <si>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</si>
  <si>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</si>
  <si>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</si>
  <si>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</si>
  <si>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</si>
  <si>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</si>
  <si>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</si>
  <si>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</si>
  <si>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</si>
  <si>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</si>
  <si>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</si>
  <si>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</si>
  <si>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</si>
  <si>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</si>
  <si>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</si>
  <si>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</si>
  <si>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</si>
  <si>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</si>
  <si>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</si>
  <si>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</si>
  <si>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</si>
  <si>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24066</t>
  </si>
  <si>
    <t>LUBBEEK</t>
  </si>
  <si>
    <t>referentietaak LNE (2017); Jaarverslag De Lijn</t>
  </si>
  <si>
    <t>waterkracht</t>
  </si>
  <si>
    <t>Aspiravi NV</t>
  </si>
  <si>
    <t>Vaarnewijkstraat 17 , 8530 Harelbeke</t>
  </si>
  <si>
    <t>BGS-0007 Pellenberg Stort (GSC rest)</t>
  </si>
  <si>
    <t>biogas - stortgas</t>
  </si>
  <si>
    <t>niet WKK interne verbrandingsmotor (gas)</t>
  </si>
  <si>
    <t>Papenveld - , 3210 Lubbeek</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</si>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</sst>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121683.94187553614</c:v>
                </c:pt>
                <c:pt idx="1">
                  <c:v>26802.99268719646</c:v>
                </c:pt>
                <c:pt idx="2">
                  <c:v>882.25800000000004</c:v>
                </c:pt>
                <c:pt idx="3">
                  <c:v>3015.5729282142047</c:v>
                </c:pt>
                <c:pt idx="4">
                  <c:v>4575.8653322941182</c:v>
                </c:pt>
                <c:pt idx="5">
                  <c:v>69788.819393730388</c:v>
                </c:pt>
                <c:pt idx="6">
                  <c:v>3581.388566764077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121683.94187553614</c:v>
                </c:pt>
                <c:pt idx="1">
                  <c:v>26802.99268719646</c:v>
                </c:pt>
                <c:pt idx="2">
                  <c:v>882.25800000000004</c:v>
                </c:pt>
                <c:pt idx="3">
                  <c:v>3015.5729282142047</c:v>
                </c:pt>
                <c:pt idx="4">
                  <c:v>4575.8653322941182</c:v>
                </c:pt>
                <c:pt idx="5">
                  <c:v>69788.819393730388</c:v>
                </c:pt>
                <c:pt idx="6">
                  <c:v>3581.388566764077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25377.356424563248</c:v>
                </c:pt>
                <c:pt idx="1">
                  <c:v>5221.3555186586627</c:v>
                </c:pt>
                <c:pt idx="2">
                  <c:v>164.41703539216869</c:v>
                </c:pt>
                <c:pt idx="3">
                  <c:v>762.96339847902959</c:v>
                </c:pt>
                <c:pt idx="4">
                  <c:v>890.06662151325941</c:v>
                </c:pt>
                <c:pt idx="5">
                  <c:v>17347.734413101189</c:v>
                </c:pt>
                <c:pt idx="6">
                  <c:v>903.06358175199568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25377.356424563248</c:v>
                </c:pt>
                <c:pt idx="1">
                  <c:v>5221.3555186586627</c:v>
                </c:pt>
                <c:pt idx="2">
                  <c:v>164.41703539216869</c:v>
                </c:pt>
                <c:pt idx="3">
                  <c:v>762.96339847902959</c:v>
                </c:pt>
                <c:pt idx="4">
                  <c:v>890.06662151325941</c:v>
                </c:pt>
                <c:pt idx="5">
                  <c:v>17347.734413101189</c:v>
                </c:pt>
                <c:pt idx="6">
                  <c:v>903.06358175199568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24066</v>
      </c>
      <c r="B6" s="386"/>
      <c r="C6" s="387"/>
    </row>
    <row r="7" spans="1:7" s="384" customFormat="1" ht="15.75" customHeight="1">
      <c r="A7" s="388" t="str">
        <f>txtMunicipality</f>
        <v>LUBBEEK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17143.661995000002</v>
      </c>
      <c r="D10" s="682">
        <f ca="1">tertiair!C16</f>
        <v>0</v>
      </c>
      <c r="E10" s="682">
        <f ca="1">tertiair!D16</f>
        <v>8657.7533860860003</v>
      </c>
      <c r="F10" s="682">
        <f>tertiair!E16</f>
        <v>23.134301787742253</v>
      </c>
      <c r="G10" s="682">
        <f ca="1">tertiair!F16</f>
        <v>1635.848531822932</v>
      </c>
      <c r="H10" s="682">
        <f>tertiair!G16</f>
        <v>0</v>
      </c>
      <c r="I10" s="682">
        <f>tertiair!H16</f>
        <v>0</v>
      </c>
      <c r="J10" s="682">
        <f>tertiair!I16</f>
        <v>0</v>
      </c>
      <c r="K10" s="682">
        <f>tertiair!J16</f>
        <v>4.1369762827227936E-3</v>
      </c>
      <c r="L10" s="682">
        <f>tertiair!K16</f>
        <v>0</v>
      </c>
      <c r="M10" s="682">
        <f ca="1">tertiair!L16</f>
        <v>0</v>
      </c>
      <c r="N10" s="682">
        <f>tertiair!M16</f>
        <v>0</v>
      </c>
      <c r="O10" s="682">
        <f ca="1">tertiair!N16</f>
        <v>0</v>
      </c>
      <c r="P10" s="682">
        <f>tertiair!O16</f>
        <v>14.691782297523464</v>
      </c>
      <c r="Q10" s="683">
        <f>tertiair!P16</f>
        <v>210.15655322598008</v>
      </c>
      <c r="R10" s="685">
        <f ca="1">SUM(C10:Q10)</f>
        <v>27685.250687196462</v>
      </c>
      <c r="S10" s="67"/>
    </row>
    <row r="11" spans="1:19" s="445" customFormat="1">
      <c r="A11" s="803" t="s">
        <v>220</v>
      </c>
      <c r="B11" s="808"/>
      <c r="C11" s="682">
        <f>huishoudens!B8</f>
        <v>27028.730337781581</v>
      </c>
      <c r="D11" s="682">
        <f>huishoudens!C8</f>
        <v>0</v>
      </c>
      <c r="E11" s="682">
        <f>huishoudens!D8</f>
        <v>35205.040852211911</v>
      </c>
      <c r="F11" s="682">
        <f>huishoudens!E8</f>
        <v>2089.2658488760526</v>
      </c>
      <c r="G11" s="682">
        <f>huishoudens!F8</f>
        <v>47455.335044684769</v>
      </c>
      <c r="H11" s="682">
        <f>huishoudens!G8</f>
        <v>0</v>
      </c>
      <c r="I11" s="682">
        <f>huishoudens!H8</f>
        <v>0</v>
      </c>
      <c r="J11" s="682">
        <f>huishoudens!I8</f>
        <v>0</v>
      </c>
      <c r="K11" s="682">
        <f>huishoudens!J8</f>
        <v>237.41103459426432</v>
      </c>
      <c r="L11" s="682">
        <f>huishoudens!K8</f>
        <v>0</v>
      </c>
      <c r="M11" s="682">
        <f>huishoudens!L8</f>
        <v>0</v>
      </c>
      <c r="N11" s="682">
        <f>huishoudens!M8</f>
        <v>0</v>
      </c>
      <c r="O11" s="682">
        <f>huishoudens!N8</f>
        <v>8256.6118181572365</v>
      </c>
      <c r="P11" s="682">
        <f>huishoudens!O8</f>
        <v>442.42268292330812</v>
      </c>
      <c r="Q11" s="683">
        <f>huishoudens!P8</f>
        <v>969.12425630702205</v>
      </c>
      <c r="R11" s="685">
        <f>SUM(C11:Q11)</f>
        <v>121683.94187553614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2839.3139540000002</v>
      </c>
      <c r="D13" s="682">
        <f>industrie!C18</f>
        <v>0</v>
      </c>
      <c r="E13" s="682">
        <f>industrie!D18</f>
        <v>665.59128211799998</v>
      </c>
      <c r="F13" s="682">
        <f>industrie!E18</f>
        <v>9.2323281337773899</v>
      </c>
      <c r="G13" s="682">
        <f>industrie!F18</f>
        <v>840.31156081866504</v>
      </c>
      <c r="H13" s="682">
        <f>industrie!G18</f>
        <v>0</v>
      </c>
      <c r="I13" s="682">
        <f>industrie!H18</f>
        <v>0</v>
      </c>
      <c r="J13" s="682">
        <f>industrie!I18</f>
        <v>0</v>
      </c>
      <c r="K13" s="682">
        <f>industrie!J18</f>
        <v>7.2114988718512282E-2</v>
      </c>
      <c r="L13" s="682">
        <f>industrie!K18</f>
        <v>0</v>
      </c>
      <c r="M13" s="682">
        <f>industrie!L18</f>
        <v>0</v>
      </c>
      <c r="N13" s="682">
        <f>industrie!M18</f>
        <v>0</v>
      </c>
      <c r="O13" s="682">
        <f>industrie!N18</f>
        <v>221.34409223495732</v>
      </c>
      <c r="P13" s="682">
        <f>industrie!O18</f>
        <v>0</v>
      </c>
      <c r="Q13" s="683">
        <f>industrie!P18</f>
        <v>0</v>
      </c>
      <c r="R13" s="685">
        <f>SUM(C13:Q13)</f>
        <v>4575.8653322941182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47011.706286781584</v>
      </c>
      <c r="D16" s="718">
        <f t="shared" ref="D16:R16" ca="1" si="0">SUM(D9:D15)</f>
        <v>0</v>
      </c>
      <c r="E16" s="718">
        <f t="shared" ca="1" si="0"/>
        <v>44528.385520415912</v>
      </c>
      <c r="F16" s="718">
        <f t="shared" si="0"/>
        <v>2121.6324787975718</v>
      </c>
      <c r="G16" s="718">
        <f t="shared" ca="1" si="0"/>
        <v>49931.495137326361</v>
      </c>
      <c r="H16" s="718">
        <f t="shared" si="0"/>
        <v>0</v>
      </c>
      <c r="I16" s="718">
        <f t="shared" si="0"/>
        <v>0</v>
      </c>
      <c r="J16" s="718">
        <f t="shared" si="0"/>
        <v>0</v>
      </c>
      <c r="K16" s="718">
        <f t="shared" si="0"/>
        <v>237.48728655926556</v>
      </c>
      <c r="L16" s="718">
        <f t="shared" si="0"/>
        <v>0</v>
      </c>
      <c r="M16" s="718">
        <f t="shared" ca="1" si="0"/>
        <v>0</v>
      </c>
      <c r="N16" s="718">
        <f t="shared" si="0"/>
        <v>0</v>
      </c>
      <c r="O16" s="718">
        <f t="shared" ca="1" si="0"/>
        <v>8477.9559103921929</v>
      </c>
      <c r="P16" s="718">
        <f t="shared" si="0"/>
        <v>457.11446522083156</v>
      </c>
      <c r="Q16" s="718">
        <f t="shared" si="0"/>
        <v>1179.2808095330022</v>
      </c>
      <c r="R16" s="718">
        <f t="shared" ca="1" si="0"/>
        <v>153945.05789502672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46.926196200502069</v>
      </c>
      <c r="D19" s="682">
        <f>transport!C54</f>
        <v>0</v>
      </c>
      <c r="E19" s="682">
        <f>transport!D54</f>
        <v>0</v>
      </c>
      <c r="F19" s="682">
        <f>transport!E54</f>
        <v>0</v>
      </c>
      <c r="G19" s="682">
        <f>transport!F54</f>
        <v>0</v>
      </c>
      <c r="H19" s="682">
        <f>transport!G54</f>
        <v>3349.5072880361736</v>
      </c>
      <c r="I19" s="682">
        <f>transport!H54</f>
        <v>0</v>
      </c>
      <c r="J19" s="682">
        <f>transport!I54</f>
        <v>0</v>
      </c>
      <c r="K19" s="682">
        <f>transport!J54</f>
        <v>0</v>
      </c>
      <c r="L19" s="682">
        <f>transport!K54</f>
        <v>0</v>
      </c>
      <c r="M19" s="682">
        <f>transport!L54</f>
        <v>0</v>
      </c>
      <c r="N19" s="682">
        <f>transport!M54</f>
        <v>184.95508252740123</v>
      </c>
      <c r="O19" s="682">
        <f>transport!N54</f>
        <v>0</v>
      </c>
      <c r="P19" s="682">
        <f>transport!O54</f>
        <v>0</v>
      </c>
      <c r="Q19" s="683">
        <f>transport!P54</f>
        <v>0</v>
      </c>
      <c r="R19" s="685">
        <f>SUM(C19:Q19)</f>
        <v>3581.388566764077</v>
      </c>
      <c r="S19" s="67"/>
    </row>
    <row r="20" spans="1:19" s="445" customFormat="1">
      <c r="A20" s="803" t="s">
        <v>302</v>
      </c>
      <c r="B20" s="808"/>
      <c r="C20" s="682">
        <f>transport!B14</f>
        <v>109.30259031368581</v>
      </c>
      <c r="D20" s="682">
        <f>transport!C14</f>
        <v>0</v>
      </c>
      <c r="E20" s="682">
        <f>transport!D14</f>
        <v>210.21993396411614</v>
      </c>
      <c r="F20" s="682">
        <f>transport!E14</f>
        <v>114.66110833028408</v>
      </c>
      <c r="G20" s="682">
        <f>transport!F14</f>
        <v>0</v>
      </c>
      <c r="H20" s="682">
        <f>transport!G14</f>
        <v>52761.582830486237</v>
      </c>
      <c r="I20" s="682">
        <f>transport!H14</f>
        <v>12737.067222637903</v>
      </c>
      <c r="J20" s="682">
        <f>transport!I14</f>
        <v>0</v>
      </c>
      <c r="K20" s="682">
        <f>transport!J14</f>
        <v>0</v>
      </c>
      <c r="L20" s="682">
        <f>transport!K14</f>
        <v>0</v>
      </c>
      <c r="M20" s="682">
        <f>transport!L14</f>
        <v>0</v>
      </c>
      <c r="N20" s="682">
        <f>transport!M14</f>
        <v>3855.985707998153</v>
      </c>
      <c r="O20" s="682">
        <f>transport!N14</f>
        <v>0</v>
      </c>
      <c r="P20" s="682">
        <f>transport!O14</f>
        <v>0</v>
      </c>
      <c r="Q20" s="683">
        <f>transport!P14</f>
        <v>0</v>
      </c>
      <c r="R20" s="685">
        <f>SUM(C20:Q20)</f>
        <v>69788.819393730388</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156.22878651418787</v>
      </c>
      <c r="D22" s="806">
        <f t="shared" ref="D22:R22" si="1">SUM(D18:D21)</f>
        <v>0</v>
      </c>
      <c r="E22" s="806">
        <f t="shared" si="1"/>
        <v>210.21993396411614</v>
      </c>
      <c r="F22" s="806">
        <f t="shared" si="1"/>
        <v>114.66110833028408</v>
      </c>
      <c r="G22" s="806">
        <f t="shared" si="1"/>
        <v>0</v>
      </c>
      <c r="H22" s="806">
        <f t="shared" si="1"/>
        <v>56111.090118522414</v>
      </c>
      <c r="I22" s="806">
        <f t="shared" si="1"/>
        <v>12737.067222637903</v>
      </c>
      <c r="J22" s="806">
        <f t="shared" si="1"/>
        <v>0</v>
      </c>
      <c r="K22" s="806">
        <f t="shared" si="1"/>
        <v>0</v>
      </c>
      <c r="L22" s="806">
        <f t="shared" si="1"/>
        <v>0</v>
      </c>
      <c r="M22" s="806">
        <f t="shared" si="1"/>
        <v>0</v>
      </c>
      <c r="N22" s="806">
        <f t="shared" si="1"/>
        <v>4040.9407905255543</v>
      </c>
      <c r="O22" s="806">
        <f t="shared" si="1"/>
        <v>0</v>
      </c>
      <c r="P22" s="806">
        <f t="shared" si="1"/>
        <v>0</v>
      </c>
      <c r="Q22" s="806">
        <f t="shared" si="1"/>
        <v>0</v>
      </c>
      <c r="R22" s="806">
        <f t="shared" si="1"/>
        <v>73370.207960494459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651.55566500000009</v>
      </c>
      <c r="D24" s="682">
        <f>+landbouw!C8</f>
        <v>0</v>
      </c>
      <c r="E24" s="682">
        <f>+landbouw!D8</f>
        <v>54.783832488000009</v>
      </c>
      <c r="F24" s="682">
        <f>+landbouw!E8</f>
        <v>24.298503714459411</v>
      </c>
      <c r="G24" s="682">
        <f>+landbouw!F8</f>
        <v>2113.8983482794347</v>
      </c>
      <c r="H24" s="682">
        <f>+landbouw!G8</f>
        <v>0</v>
      </c>
      <c r="I24" s="682">
        <f>+landbouw!H8</f>
        <v>0</v>
      </c>
      <c r="J24" s="682">
        <f>+landbouw!I8</f>
        <v>0</v>
      </c>
      <c r="K24" s="682">
        <f>+landbouw!J8</f>
        <v>171.03657873231049</v>
      </c>
      <c r="L24" s="682">
        <f>+landbouw!K8</f>
        <v>0</v>
      </c>
      <c r="M24" s="682">
        <f>+landbouw!L8</f>
        <v>0</v>
      </c>
      <c r="N24" s="682">
        <f>+landbouw!M8</f>
        <v>0</v>
      </c>
      <c r="O24" s="682">
        <f>+landbouw!N8</f>
        <v>0</v>
      </c>
      <c r="P24" s="682">
        <f>+landbouw!O8</f>
        <v>0</v>
      </c>
      <c r="Q24" s="683">
        <f>+landbouw!P8</f>
        <v>0</v>
      </c>
      <c r="R24" s="685">
        <f>SUM(C24:Q24)</f>
        <v>3015.5729282142047</v>
      </c>
      <c r="S24" s="67"/>
    </row>
    <row r="25" spans="1:19" s="445" customFormat="1" ht="15" thickBot="1">
      <c r="A25" s="825" t="s">
        <v>703</v>
      </c>
      <c r="B25" s="938"/>
      <c r="C25" s="939">
        <f>IF(Onbekend_ele_kWh="---",0,Onbekend_ele_kWh)/1000+IF(REST_rest_ele_kWh="---",0,REST_rest_ele_kWh)/1000</f>
        <v>649.77908400000001</v>
      </c>
      <c r="D25" s="939"/>
      <c r="E25" s="939">
        <f>IF(onbekend_gas_kWh="---",0,onbekend_gas_kWh)/1000+IF(REST_rest_gas_kWh="---",0,REST_rest_gas_kWh)/1000</f>
        <v>668.56424300000003</v>
      </c>
      <c r="F25" s="939"/>
      <c r="G25" s="939"/>
      <c r="H25" s="939"/>
      <c r="I25" s="939"/>
      <c r="J25" s="939"/>
      <c r="K25" s="939"/>
      <c r="L25" s="939"/>
      <c r="M25" s="939"/>
      <c r="N25" s="939"/>
      <c r="O25" s="939"/>
      <c r="P25" s="939"/>
      <c r="Q25" s="940"/>
      <c r="R25" s="685">
        <f>SUM(C25:Q25)</f>
        <v>1318.343327</v>
      </c>
      <c r="S25" s="67"/>
    </row>
    <row r="26" spans="1:19" s="445" customFormat="1" ht="15.75" thickBot="1">
      <c r="A26" s="690" t="s">
        <v>704</v>
      </c>
      <c r="B26" s="811"/>
      <c r="C26" s="806">
        <f>SUM(C24:C25)</f>
        <v>1301.3347490000001</v>
      </c>
      <c r="D26" s="806">
        <f t="shared" ref="D26:R26" si="2">SUM(D24:D25)</f>
        <v>0</v>
      </c>
      <c r="E26" s="806">
        <f t="shared" si="2"/>
        <v>723.34807548800006</v>
      </c>
      <c r="F26" s="806">
        <f t="shared" si="2"/>
        <v>24.298503714459411</v>
      </c>
      <c r="G26" s="806">
        <f t="shared" si="2"/>
        <v>2113.8983482794347</v>
      </c>
      <c r="H26" s="806">
        <f t="shared" si="2"/>
        <v>0</v>
      </c>
      <c r="I26" s="806">
        <f t="shared" si="2"/>
        <v>0</v>
      </c>
      <c r="J26" s="806">
        <f t="shared" si="2"/>
        <v>0</v>
      </c>
      <c r="K26" s="806">
        <f t="shared" si="2"/>
        <v>171.03657873231049</v>
      </c>
      <c r="L26" s="806">
        <f t="shared" si="2"/>
        <v>0</v>
      </c>
      <c r="M26" s="806">
        <f t="shared" si="2"/>
        <v>0</v>
      </c>
      <c r="N26" s="806">
        <f t="shared" si="2"/>
        <v>0</v>
      </c>
      <c r="O26" s="806">
        <f t="shared" si="2"/>
        <v>0</v>
      </c>
      <c r="P26" s="806">
        <f t="shared" si="2"/>
        <v>0</v>
      </c>
      <c r="Q26" s="806">
        <f t="shared" si="2"/>
        <v>0</v>
      </c>
      <c r="R26" s="806">
        <f t="shared" si="2"/>
        <v>4333.9162552142043</v>
      </c>
      <c r="S26" s="67"/>
    </row>
    <row r="27" spans="1:19" s="445" customFormat="1" ht="17.25" thickTop="1" thickBot="1">
      <c r="A27" s="691" t="s">
        <v>115</v>
      </c>
      <c r="B27" s="798"/>
      <c r="C27" s="692">
        <f ca="1">C22+C16+C26</f>
        <v>48469.26982229577</v>
      </c>
      <c r="D27" s="692">
        <f t="shared" ref="D27:R27" ca="1" si="3">D22+D16+D26</f>
        <v>0</v>
      </c>
      <c r="E27" s="692">
        <f t="shared" ca="1" si="3"/>
        <v>45461.953529868028</v>
      </c>
      <c r="F27" s="692">
        <f t="shared" si="3"/>
        <v>2260.5920908423154</v>
      </c>
      <c r="G27" s="692">
        <f t="shared" ca="1" si="3"/>
        <v>52045.393485605797</v>
      </c>
      <c r="H27" s="692">
        <f t="shared" si="3"/>
        <v>56111.090118522414</v>
      </c>
      <c r="I27" s="692">
        <f t="shared" si="3"/>
        <v>12737.067222637903</v>
      </c>
      <c r="J27" s="692">
        <f t="shared" si="3"/>
        <v>0</v>
      </c>
      <c r="K27" s="692">
        <f t="shared" si="3"/>
        <v>408.52386529157604</v>
      </c>
      <c r="L27" s="692">
        <f t="shared" si="3"/>
        <v>0</v>
      </c>
      <c r="M27" s="692">
        <f t="shared" ca="1" si="3"/>
        <v>0</v>
      </c>
      <c r="N27" s="692">
        <f t="shared" si="3"/>
        <v>4040.9407905255543</v>
      </c>
      <c r="O27" s="692">
        <f t="shared" ca="1" si="3"/>
        <v>8477.9559103921929</v>
      </c>
      <c r="P27" s="692">
        <f t="shared" si="3"/>
        <v>457.11446522083156</v>
      </c>
      <c r="Q27" s="692">
        <f t="shared" si="3"/>
        <v>1179.2808095330022</v>
      </c>
      <c r="R27" s="692">
        <f t="shared" ca="1" si="3"/>
        <v>231649.18211073539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3194.8818610693156</v>
      </c>
      <c r="D40" s="682">
        <f ca="1">tertiair!C20</f>
        <v>0</v>
      </c>
      <c r="E40" s="682">
        <f ca="1">tertiair!D20</f>
        <v>1748.8661839893721</v>
      </c>
      <c r="F40" s="682">
        <f>tertiair!E20</f>
        <v>5.2514865058174918</v>
      </c>
      <c r="G40" s="682">
        <f ca="1">tertiair!F20</f>
        <v>436.77155799672289</v>
      </c>
      <c r="H40" s="682">
        <f>tertiair!G20</f>
        <v>0</v>
      </c>
      <c r="I40" s="682">
        <f>tertiair!H20</f>
        <v>0</v>
      </c>
      <c r="J40" s="682">
        <f>tertiair!I20</f>
        <v>0</v>
      </c>
      <c r="K40" s="682">
        <f>tertiair!J20</f>
        <v>1.4644896040838689E-3</v>
      </c>
      <c r="L40" s="682">
        <f>tertiair!K20</f>
        <v>0</v>
      </c>
      <c r="M40" s="682">
        <f ca="1">tertiair!L20</f>
        <v>0</v>
      </c>
      <c r="N40" s="682">
        <f>tertiair!M20</f>
        <v>0</v>
      </c>
      <c r="O40" s="682">
        <f ca="1">tertiair!N20</f>
        <v>0</v>
      </c>
      <c r="P40" s="682">
        <f>tertiair!O20</f>
        <v>0</v>
      </c>
      <c r="Q40" s="765">
        <f>tertiair!P20</f>
        <v>0</v>
      </c>
      <c r="R40" s="844">
        <f t="shared" ca="1" si="4"/>
        <v>5385.7725540508318</v>
      </c>
    </row>
    <row r="41" spans="1:18">
      <c r="A41" s="816" t="s">
        <v>220</v>
      </c>
      <c r="B41" s="823"/>
      <c r="C41" s="682">
        <f ca="1">huishoudens!B12</f>
        <v>5037.0568615443754</v>
      </c>
      <c r="D41" s="682">
        <f ca="1">huishoudens!C12</f>
        <v>0</v>
      </c>
      <c r="E41" s="682">
        <f>huishoudens!D12</f>
        <v>7111.4182521468065</v>
      </c>
      <c r="F41" s="682">
        <f>huishoudens!E12</f>
        <v>474.26334769486397</v>
      </c>
      <c r="G41" s="682">
        <f>huishoudens!F12</f>
        <v>12670.574456930834</v>
      </c>
      <c r="H41" s="682">
        <f>huishoudens!G12</f>
        <v>0</v>
      </c>
      <c r="I41" s="682">
        <f>huishoudens!H12</f>
        <v>0</v>
      </c>
      <c r="J41" s="682">
        <f>huishoudens!I12</f>
        <v>0</v>
      </c>
      <c r="K41" s="682">
        <f>huishoudens!J12</f>
        <v>84.04350624636956</v>
      </c>
      <c r="L41" s="682">
        <f>huishoudens!K12</f>
        <v>0</v>
      </c>
      <c r="M41" s="682">
        <f>huishoudens!L12</f>
        <v>0</v>
      </c>
      <c r="N41" s="682">
        <f>huishoudens!M12</f>
        <v>0</v>
      </c>
      <c r="O41" s="682">
        <f>huishoudens!N12</f>
        <v>0</v>
      </c>
      <c r="P41" s="682">
        <f>huishoudens!O12</f>
        <v>0</v>
      </c>
      <c r="Q41" s="765">
        <f>huishoudens!P12</f>
        <v>0</v>
      </c>
      <c r="R41" s="844">
        <f t="shared" ca="1" si="4"/>
        <v>25377.356424563248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529.13272859446602</v>
      </c>
      <c r="D43" s="682">
        <f ca="1">industrie!C22</f>
        <v>0</v>
      </c>
      <c r="E43" s="682">
        <f>industrie!D22</f>
        <v>134.449438987836</v>
      </c>
      <c r="F43" s="682">
        <f>industrie!E22</f>
        <v>2.0957384863674675</v>
      </c>
      <c r="G43" s="682">
        <f>industrie!F22</f>
        <v>224.36318673858358</v>
      </c>
      <c r="H43" s="682">
        <f>industrie!G22</f>
        <v>0</v>
      </c>
      <c r="I43" s="682">
        <f>industrie!H22</f>
        <v>0</v>
      </c>
      <c r="J43" s="682">
        <f>industrie!I22</f>
        <v>0</v>
      </c>
      <c r="K43" s="682">
        <f>industrie!J22</f>
        <v>2.5528706006353347E-2</v>
      </c>
      <c r="L43" s="682">
        <f>industrie!K22</f>
        <v>0</v>
      </c>
      <c r="M43" s="682">
        <f>industrie!L22</f>
        <v>0</v>
      </c>
      <c r="N43" s="682">
        <f>industrie!M22</f>
        <v>0</v>
      </c>
      <c r="O43" s="682">
        <f>industrie!N22</f>
        <v>0</v>
      </c>
      <c r="P43" s="682">
        <f>industrie!O22</f>
        <v>0</v>
      </c>
      <c r="Q43" s="765">
        <f>industrie!P22</f>
        <v>0</v>
      </c>
      <c r="R43" s="843">
        <f t="shared" ca="1" si="4"/>
        <v>890.06662151325941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8761.0714512081577</v>
      </c>
      <c r="D46" s="718">
        <f t="shared" ref="D46:Q46" ca="1" si="5">SUM(D39:D45)</f>
        <v>0</v>
      </c>
      <c r="E46" s="718">
        <f t="shared" ca="1" si="5"/>
        <v>8994.733875124015</v>
      </c>
      <c r="F46" s="718">
        <f t="shared" si="5"/>
        <v>481.61057268704889</v>
      </c>
      <c r="G46" s="718">
        <f t="shared" ca="1" si="5"/>
        <v>13331.709201666139</v>
      </c>
      <c r="H46" s="718">
        <f t="shared" si="5"/>
        <v>0</v>
      </c>
      <c r="I46" s="718">
        <f t="shared" si="5"/>
        <v>0</v>
      </c>
      <c r="J46" s="718">
        <f t="shared" si="5"/>
        <v>0</v>
      </c>
      <c r="K46" s="718">
        <f t="shared" si="5"/>
        <v>84.070499441980004</v>
      </c>
      <c r="L46" s="718">
        <f t="shared" si="5"/>
        <v>0</v>
      </c>
      <c r="M46" s="718">
        <f t="shared" ca="1" si="5"/>
        <v>0</v>
      </c>
      <c r="N46" s="718">
        <f t="shared" si="5"/>
        <v>0</v>
      </c>
      <c r="O46" s="718">
        <f t="shared" ca="1" si="5"/>
        <v>0</v>
      </c>
      <c r="P46" s="718">
        <f t="shared" si="5"/>
        <v>0</v>
      </c>
      <c r="Q46" s="718">
        <f t="shared" si="5"/>
        <v>0</v>
      </c>
      <c r="R46" s="718">
        <f ca="1">SUM(R39:R45)</f>
        <v>31653.195600127339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8.7451358463372397</v>
      </c>
      <c r="D49" s="682">
        <f ca="1">transport!C58</f>
        <v>0</v>
      </c>
      <c r="E49" s="682">
        <f>transport!D58</f>
        <v>0</v>
      </c>
      <c r="F49" s="682">
        <f>transport!E58</f>
        <v>0</v>
      </c>
      <c r="G49" s="682">
        <f>transport!F58</f>
        <v>0</v>
      </c>
      <c r="H49" s="682">
        <f>transport!G58</f>
        <v>894.31844590565845</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903.06358175199568</v>
      </c>
    </row>
    <row r="50" spans="1:18">
      <c r="A50" s="819" t="s">
        <v>302</v>
      </c>
      <c r="B50" s="829"/>
      <c r="C50" s="688">
        <f ca="1">transport!B18</f>
        <v>20.369560672797519</v>
      </c>
      <c r="D50" s="688">
        <f>transport!C18</f>
        <v>0</v>
      </c>
      <c r="E50" s="688">
        <f>transport!D18</f>
        <v>42.464426660751464</v>
      </c>
      <c r="F50" s="688">
        <f>transport!E18</f>
        <v>26.028071590974488</v>
      </c>
      <c r="G50" s="688">
        <f>transport!F18</f>
        <v>0</v>
      </c>
      <c r="H50" s="688">
        <f>transport!G18</f>
        <v>14087.342615739826</v>
      </c>
      <c r="I50" s="688">
        <f>transport!H18</f>
        <v>3171.5297384368378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17347.734413101189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29.11469651913476</v>
      </c>
      <c r="D52" s="718">
        <f t="shared" ref="D52:Q52" ca="1" si="6">SUM(D48:D51)</f>
        <v>0</v>
      </c>
      <c r="E52" s="718">
        <f t="shared" si="6"/>
        <v>42.464426660751464</v>
      </c>
      <c r="F52" s="718">
        <f t="shared" si="6"/>
        <v>26.028071590974488</v>
      </c>
      <c r="G52" s="718">
        <f t="shared" si="6"/>
        <v>0</v>
      </c>
      <c r="H52" s="718">
        <f t="shared" si="6"/>
        <v>14981.661061645485</v>
      </c>
      <c r="I52" s="718">
        <f t="shared" si="6"/>
        <v>3171.5297384368378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18250.797994853183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121.42349611142434</v>
      </c>
      <c r="D54" s="688">
        <f ca="1">+landbouw!C12</f>
        <v>0</v>
      </c>
      <c r="E54" s="688">
        <f>+landbouw!D12</f>
        <v>11.066334162576002</v>
      </c>
      <c r="F54" s="688">
        <f>+landbouw!E12</f>
        <v>5.5157603431822864</v>
      </c>
      <c r="G54" s="688">
        <f>+landbouw!F12</f>
        <v>564.41085899060909</v>
      </c>
      <c r="H54" s="688">
        <f>+landbouw!G12</f>
        <v>0</v>
      </c>
      <c r="I54" s="688">
        <f>+landbouw!H12</f>
        <v>0</v>
      </c>
      <c r="J54" s="688">
        <f>+landbouw!I12</f>
        <v>0</v>
      </c>
      <c r="K54" s="688">
        <f>+landbouw!J12</f>
        <v>60.546948871237909</v>
      </c>
      <c r="L54" s="688">
        <f>+landbouw!K12</f>
        <v>0</v>
      </c>
      <c r="M54" s="688">
        <f>+landbouw!L12</f>
        <v>0</v>
      </c>
      <c r="N54" s="688">
        <f>+landbouw!M12</f>
        <v>0</v>
      </c>
      <c r="O54" s="688">
        <f>+landbouw!N12</f>
        <v>0</v>
      </c>
      <c r="P54" s="688">
        <f>+landbouw!O12</f>
        <v>0</v>
      </c>
      <c r="Q54" s="689">
        <f>+landbouw!P12</f>
        <v>0</v>
      </c>
      <c r="R54" s="717">
        <f ca="1">SUM(C54:Q54)</f>
        <v>762.96339847902959</v>
      </c>
    </row>
    <row r="55" spans="1:18" ht="15" thickBot="1">
      <c r="A55" s="819" t="s">
        <v>703</v>
      </c>
      <c r="B55" s="829"/>
      <c r="C55" s="688">
        <f ca="1">C25*'EF ele_warmte'!B12</f>
        <v>121.09241361497311</v>
      </c>
      <c r="D55" s="688"/>
      <c r="E55" s="688">
        <f>E25*EF_CO2_aardgas</f>
        <v>135.04997708600001</v>
      </c>
      <c r="F55" s="688"/>
      <c r="G55" s="688"/>
      <c r="H55" s="688"/>
      <c r="I55" s="688"/>
      <c r="J55" s="688"/>
      <c r="K55" s="688"/>
      <c r="L55" s="688"/>
      <c r="M55" s="688"/>
      <c r="N55" s="688"/>
      <c r="O55" s="688"/>
      <c r="P55" s="688"/>
      <c r="Q55" s="689"/>
      <c r="R55" s="717">
        <f ca="1">SUM(C55:Q55)</f>
        <v>256.14239070097312</v>
      </c>
    </row>
    <row r="56" spans="1:18" ht="15.75" thickBot="1">
      <c r="A56" s="817" t="s">
        <v>704</v>
      </c>
      <c r="B56" s="830"/>
      <c r="C56" s="718">
        <f ca="1">SUM(C54:C55)</f>
        <v>242.51590972639747</v>
      </c>
      <c r="D56" s="718">
        <f t="shared" ref="D56:Q56" ca="1" si="7">SUM(D54:D55)</f>
        <v>0</v>
      </c>
      <c r="E56" s="718">
        <f t="shared" si="7"/>
        <v>146.11631124857601</v>
      </c>
      <c r="F56" s="718">
        <f t="shared" si="7"/>
        <v>5.5157603431822864</v>
      </c>
      <c r="G56" s="718">
        <f t="shared" si="7"/>
        <v>564.41085899060909</v>
      </c>
      <c r="H56" s="718">
        <f t="shared" si="7"/>
        <v>0</v>
      </c>
      <c r="I56" s="718">
        <f t="shared" si="7"/>
        <v>0</v>
      </c>
      <c r="J56" s="718">
        <f t="shared" si="7"/>
        <v>0</v>
      </c>
      <c r="K56" s="718">
        <f t="shared" si="7"/>
        <v>60.546948871237909</v>
      </c>
      <c r="L56" s="718">
        <f t="shared" si="7"/>
        <v>0</v>
      </c>
      <c r="M56" s="718">
        <f t="shared" si="7"/>
        <v>0</v>
      </c>
      <c r="N56" s="718">
        <f t="shared" si="7"/>
        <v>0</v>
      </c>
      <c r="O56" s="718">
        <f t="shared" si="7"/>
        <v>0</v>
      </c>
      <c r="P56" s="718">
        <f t="shared" si="7"/>
        <v>0</v>
      </c>
      <c r="Q56" s="719">
        <f t="shared" si="7"/>
        <v>0</v>
      </c>
      <c r="R56" s="720">
        <f ca="1">SUM(R54:R55)</f>
        <v>1019.1057891800027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9032.7020574536891</v>
      </c>
      <c r="D61" s="726">
        <f t="shared" ref="D61:Q61" ca="1" si="8">D46+D52+D56</f>
        <v>0</v>
      </c>
      <c r="E61" s="726">
        <f t="shared" ca="1" si="8"/>
        <v>9183.3146130333425</v>
      </c>
      <c r="F61" s="726">
        <f t="shared" si="8"/>
        <v>513.15440462120569</v>
      </c>
      <c r="G61" s="726">
        <f t="shared" ca="1" si="8"/>
        <v>13896.120060656747</v>
      </c>
      <c r="H61" s="726">
        <f t="shared" si="8"/>
        <v>14981.661061645485</v>
      </c>
      <c r="I61" s="726">
        <f t="shared" si="8"/>
        <v>3171.5297384368378</v>
      </c>
      <c r="J61" s="726">
        <f t="shared" si="8"/>
        <v>0</v>
      </c>
      <c r="K61" s="726">
        <f t="shared" si="8"/>
        <v>144.61744831321792</v>
      </c>
      <c r="L61" s="726">
        <f t="shared" si="8"/>
        <v>0</v>
      </c>
      <c r="M61" s="726">
        <f t="shared" ca="1" si="8"/>
        <v>0</v>
      </c>
      <c r="N61" s="726">
        <f t="shared" si="8"/>
        <v>0</v>
      </c>
      <c r="O61" s="726">
        <f t="shared" ca="1" si="8"/>
        <v>0</v>
      </c>
      <c r="P61" s="726">
        <f t="shared" si="8"/>
        <v>0</v>
      </c>
      <c r="Q61" s="726">
        <f t="shared" si="8"/>
        <v>0</v>
      </c>
      <c r="R61" s="726">
        <f ca="1">R46+R52+R56</f>
        <v>50923.099384160523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0.1863593590448244</v>
      </c>
      <c r="D63" s="772">
        <f t="shared" ca="1" si="9"/>
        <v>0</v>
      </c>
      <c r="E63" s="964">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6782.8148111931059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814.5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2327.1428571428573</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7597.3148111931059</v>
      </c>
      <c r="C78" s="744">
        <f>SUM(C72:C77)</f>
        <v>0</v>
      </c>
      <c r="D78" s="745">
        <f t="shared" ref="D78:H78" si="10">SUM(D76:D77)</f>
        <v>0</v>
      </c>
      <c r="E78" s="745">
        <f t="shared" si="10"/>
        <v>0</v>
      </c>
      <c r="F78" s="745">
        <f t="shared" si="10"/>
        <v>0</v>
      </c>
      <c r="G78" s="745">
        <f t="shared" si="10"/>
        <v>0</v>
      </c>
      <c r="H78" s="745">
        <f t="shared" si="10"/>
        <v>0</v>
      </c>
      <c r="I78" s="745">
        <f>SUM(I76:I77)</f>
        <v>0</v>
      </c>
      <c r="J78" s="745">
        <f>SUM(J76:J77)</f>
        <v>2327.1428571428573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27028.730337781581</v>
      </c>
      <c r="C4" s="449">
        <f>huishoudens!C8</f>
        <v>0</v>
      </c>
      <c r="D4" s="449">
        <f>huishoudens!D8</f>
        <v>35205.040852211911</v>
      </c>
      <c r="E4" s="449">
        <f>huishoudens!E8</f>
        <v>2089.2658488760526</v>
      </c>
      <c r="F4" s="449">
        <f>huishoudens!F8</f>
        <v>47455.335044684769</v>
      </c>
      <c r="G4" s="449">
        <f>huishoudens!G8</f>
        <v>0</v>
      </c>
      <c r="H4" s="449">
        <f>huishoudens!H8</f>
        <v>0</v>
      </c>
      <c r="I4" s="449">
        <f>huishoudens!I8</f>
        <v>0</v>
      </c>
      <c r="J4" s="449">
        <f>huishoudens!J8</f>
        <v>237.41103459426432</v>
      </c>
      <c r="K4" s="449">
        <f>huishoudens!K8</f>
        <v>0</v>
      </c>
      <c r="L4" s="449">
        <f>huishoudens!L8</f>
        <v>0</v>
      </c>
      <c r="M4" s="449">
        <f>huishoudens!M8</f>
        <v>0</v>
      </c>
      <c r="N4" s="449">
        <f>huishoudens!N8</f>
        <v>8256.6118181572365</v>
      </c>
      <c r="O4" s="449">
        <f>huishoudens!O8</f>
        <v>442.42268292330812</v>
      </c>
      <c r="P4" s="450">
        <f>huishoudens!P8</f>
        <v>969.12425630702205</v>
      </c>
      <c r="Q4" s="451">
        <f>SUM(B4:P4)</f>
        <v>121683.94187553614</v>
      </c>
    </row>
    <row r="5" spans="1:17">
      <c r="A5" s="448" t="s">
        <v>155</v>
      </c>
      <c r="B5" s="449">
        <f ca="1">tertiair!B16</f>
        <v>16261.403995000001</v>
      </c>
      <c r="C5" s="449">
        <f ca="1">tertiair!C16</f>
        <v>0</v>
      </c>
      <c r="D5" s="449">
        <f ca="1">tertiair!D16</f>
        <v>8657.7533860860003</v>
      </c>
      <c r="E5" s="449">
        <f>tertiair!E16</f>
        <v>23.134301787742253</v>
      </c>
      <c r="F5" s="449">
        <f ca="1">tertiair!F16</f>
        <v>1635.848531822932</v>
      </c>
      <c r="G5" s="449">
        <f>tertiair!G16</f>
        <v>0</v>
      </c>
      <c r="H5" s="449">
        <f>tertiair!H16</f>
        <v>0</v>
      </c>
      <c r="I5" s="449">
        <f>tertiair!I16</f>
        <v>0</v>
      </c>
      <c r="J5" s="449">
        <f>tertiair!J16</f>
        <v>4.1369762827227936E-3</v>
      </c>
      <c r="K5" s="449">
        <f>tertiair!K16</f>
        <v>0</v>
      </c>
      <c r="L5" s="449">
        <f ca="1">tertiair!L16</f>
        <v>0</v>
      </c>
      <c r="M5" s="449">
        <f>tertiair!M16</f>
        <v>0</v>
      </c>
      <c r="N5" s="449">
        <f ca="1">tertiair!N16</f>
        <v>0</v>
      </c>
      <c r="O5" s="449">
        <f>tertiair!O16</f>
        <v>14.691782297523464</v>
      </c>
      <c r="P5" s="450">
        <f>tertiair!P16</f>
        <v>210.15655322598008</v>
      </c>
      <c r="Q5" s="448">
        <f t="shared" ref="Q5:Q14" ca="1" si="0">SUM(B5:P5)</f>
        <v>26802.99268719646</v>
      </c>
    </row>
    <row r="6" spans="1:17">
      <c r="A6" s="448" t="s">
        <v>193</v>
      </c>
      <c r="B6" s="449">
        <f>'openbare verlichting'!B8</f>
        <v>882.25800000000004</v>
      </c>
      <c r="C6" s="449"/>
      <c r="D6" s="449"/>
      <c r="E6" s="449"/>
      <c r="F6" s="449"/>
      <c r="G6" s="449"/>
      <c r="H6" s="449"/>
      <c r="I6" s="449"/>
      <c r="J6" s="449"/>
      <c r="K6" s="449"/>
      <c r="L6" s="449"/>
      <c r="M6" s="449"/>
      <c r="N6" s="449"/>
      <c r="O6" s="449"/>
      <c r="P6" s="450"/>
      <c r="Q6" s="448">
        <f t="shared" si="0"/>
        <v>882.25800000000004</v>
      </c>
    </row>
    <row r="7" spans="1:17">
      <c r="A7" s="448" t="s">
        <v>111</v>
      </c>
      <c r="B7" s="449">
        <f>landbouw!B8</f>
        <v>651.55566500000009</v>
      </c>
      <c r="C7" s="449">
        <f>landbouw!C8</f>
        <v>0</v>
      </c>
      <c r="D7" s="449">
        <f>landbouw!D8</f>
        <v>54.783832488000009</v>
      </c>
      <c r="E7" s="449">
        <f>landbouw!E8</f>
        <v>24.298503714459411</v>
      </c>
      <c r="F7" s="449">
        <f>landbouw!F8</f>
        <v>2113.8983482794347</v>
      </c>
      <c r="G7" s="449">
        <f>landbouw!G8</f>
        <v>0</v>
      </c>
      <c r="H7" s="449">
        <f>landbouw!H8</f>
        <v>0</v>
      </c>
      <c r="I7" s="449">
        <f>landbouw!I8</f>
        <v>0</v>
      </c>
      <c r="J7" s="449">
        <f>landbouw!J8</f>
        <v>171.03657873231049</v>
      </c>
      <c r="K7" s="449">
        <f>landbouw!K8</f>
        <v>0</v>
      </c>
      <c r="L7" s="449">
        <f>landbouw!L8</f>
        <v>0</v>
      </c>
      <c r="M7" s="449">
        <f>landbouw!M8</f>
        <v>0</v>
      </c>
      <c r="N7" s="449">
        <f>landbouw!N8</f>
        <v>0</v>
      </c>
      <c r="O7" s="449">
        <f>landbouw!O8</f>
        <v>0</v>
      </c>
      <c r="P7" s="450">
        <f>landbouw!P8</f>
        <v>0</v>
      </c>
      <c r="Q7" s="448">
        <f t="shared" si="0"/>
        <v>3015.5729282142047</v>
      </c>
    </row>
    <row r="8" spans="1:17">
      <c r="A8" s="448" t="s">
        <v>618</v>
      </c>
      <c r="B8" s="449">
        <f>industrie!B18</f>
        <v>2839.3139540000002</v>
      </c>
      <c r="C8" s="449">
        <f>industrie!C18</f>
        <v>0</v>
      </c>
      <c r="D8" s="449">
        <f>industrie!D18</f>
        <v>665.59128211799998</v>
      </c>
      <c r="E8" s="449">
        <f>industrie!E18</f>
        <v>9.2323281337773899</v>
      </c>
      <c r="F8" s="449">
        <f>industrie!F18</f>
        <v>840.31156081866504</v>
      </c>
      <c r="G8" s="449">
        <f>industrie!G18</f>
        <v>0</v>
      </c>
      <c r="H8" s="449">
        <f>industrie!H18</f>
        <v>0</v>
      </c>
      <c r="I8" s="449">
        <f>industrie!I18</f>
        <v>0</v>
      </c>
      <c r="J8" s="449">
        <f>industrie!J18</f>
        <v>7.2114988718512282E-2</v>
      </c>
      <c r="K8" s="449">
        <f>industrie!K18</f>
        <v>0</v>
      </c>
      <c r="L8" s="449">
        <f>industrie!L18</f>
        <v>0</v>
      </c>
      <c r="M8" s="449">
        <f>industrie!M18</f>
        <v>0</v>
      </c>
      <c r="N8" s="449">
        <f>industrie!N18</f>
        <v>221.34409223495732</v>
      </c>
      <c r="O8" s="449">
        <f>industrie!O18</f>
        <v>0</v>
      </c>
      <c r="P8" s="450">
        <f>industrie!P18</f>
        <v>0</v>
      </c>
      <c r="Q8" s="448">
        <f t="shared" si="0"/>
        <v>4575.8653322941182</v>
      </c>
    </row>
    <row r="9" spans="1:17" s="454" customFormat="1">
      <c r="A9" s="452" t="s">
        <v>544</v>
      </c>
      <c r="B9" s="453">
        <f>transport!B14</f>
        <v>109.30259031368581</v>
      </c>
      <c r="C9" s="453">
        <f>transport!C14</f>
        <v>0</v>
      </c>
      <c r="D9" s="453">
        <f>transport!D14</f>
        <v>210.21993396411614</v>
      </c>
      <c r="E9" s="453">
        <f>transport!E14</f>
        <v>114.66110833028408</v>
      </c>
      <c r="F9" s="453">
        <f>transport!F14</f>
        <v>0</v>
      </c>
      <c r="G9" s="453">
        <f>transport!G14</f>
        <v>52761.582830486237</v>
      </c>
      <c r="H9" s="453">
        <f>transport!H14</f>
        <v>12737.067222637903</v>
      </c>
      <c r="I9" s="453">
        <f>transport!I14</f>
        <v>0</v>
      </c>
      <c r="J9" s="453">
        <f>transport!J14</f>
        <v>0</v>
      </c>
      <c r="K9" s="453">
        <f>transport!K14</f>
        <v>0</v>
      </c>
      <c r="L9" s="453">
        <f>transport!L14</f>
        <v>0</v>
      </c>
      <c r="M9" s="453">
        <f>transport!M14</f>
        <v>3855.985707998153</v>
      </c>
      <c r="N9" s="453">
        <f>transport!N14</f>
        <v>0</v>
      </c>
      <c r="O9" s="453">
        <f>transport!O14</f>
        <v>0</v>
      </c>
      <c r="P9" s="453">
        <f>transport!P14</f>
        <v>0</v>
      </c>
      <c r="Q9" s="452">
        <f>SUM(B9:P9)</f>
        <v>69788.819393730388</v>
      </c>
    </row>
    <row r="10" spans="1:17">
      <c r="A10" s="448" t="s">
        <v>534</v>
      </c>
      <c r="B10" s="449">
        <f>transport!B54</f>
        <v>46.926196200502069</v>
      </c>
      <c r="C10" s="449">
        <f>transport!C54</f>
        <v>0</v>
      </c>
      <c r="D10" s="449">
        <f>transport!D54</f>
        <v>0</v>
      </c>
      <c r="E10" s="449">
        <f>transport!E54</f>
        <v>0</v>
      </c>
      <c r="F10" s="449">
        <f>transport!F54</f>
        <v>0</v>
      </c>
      <c r="G10" s="449">
        <f>transport!G54</f>
        <v>3349.5072880361736</v>
      </c>
      <c r="H10" s="449">
        <f>transport!H54</f>
        <v>0</v>
      </c>
      <c r="I10" s="449">
        <f>transport!I54</f>
        <v>0</v>
      </c>
      <c r="J10" s="449">
        <f>transport!J54</f>
        <v>0</v>
      </c>
      <c r="K10" s="449">
        <f>transport!K54</f>
        <v>0</v>
      </c>
      <c r="L10" s="449">
        <f>transport!L54</f>
        <v>0</v>
      </c>
      <c r="M10" s="449">
        <f>transport!M54</f>
        <v>184.95508252740123</v>
      </c>
      <c r="N10" s="449">
        <f>transport!N54</f>
        <v>0</v>
      </c>
      <c r="O10" s="449">
        <f>transport!O54</f>
        <v>0</v>
      </c>
      <c r="P10" s="450">
        <f>transport!P54</f>
        <v>0</v>
      </c>
      <c r="Q10" s="448">
        <f t="shared" si="0"/>
        <v>3581.388566764077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649.77908400000001</v>
      </c>
      <c r="C14" s="456"/>
      <c r="D14" s="456">
        <f>'SEAP template'!E25</f>
        <v>668.56424300000003</v>
      </c>
      <c r="E14" s="456"/>
      <c r="F14" s="456"/>
      <c r="G14" s="456"/>
      <c r="H14" s="456"/>
      <c r="I14" s="456"/>
      <c r="J14" s="456"/>
      <c r="K14" s="456"/>
      <c r="L14" s="456"/>
      <c r="M14" s="456"/>
      <c r="N14" s="456"/>
      <c r="O14" s="456"/>
      <c r="P14" s="457"/>
      <c r="Q14" s="448">
        <f t="shared" si="0"/>
        <v>1318.343327</v>
      </c>
    </row>
    <row r="15" spans="1:17" s="460" customFormat="1">
      <c r="A15" s="458" t="s">
        <v>538</v>
      </c>
      <c r="B15" s="459">
        <f ca="1">SUM(B4:B14)</f>
        <v>48469.269822295777</v>
      </c>
      <c r="C15" s="459">
        <f t="shared" ref="C15:Q15" ca="1" si="1">SUM(C4:C14)</f>
        <v>0</v>
      </c>
      <c r="D15" s="459">
        <f t="shared" ca="1" si="1"/>
        <v>45461.953529868028</v>
      </c>
      <c r="E15" s="459">
        <f t="shared" si="1"/>
        <v>2260.5920908423154</v>
      </c>
      <c r="F15" s="459">
        <f t="shared" ca="1" si="1"/>
        <v>52045.393485605797</v>
      </c>
      <c r="G15" s="459">
        <f t="shared" si="1"/>
        <v>56111.090118522414</v>
      </c>
      <c r="H15" s="459">
        <f t="shared" si="1"/>
        <v>12737.067222637903</v>
      </c>
      <c r="I15" s="459">
        <f t="shared" si="1"/>
        <v>0</v>
      </c>
      <c r="J15" s="459">
        <f t="shared" si="1"/>
        <v>408.52386529157604</v>
      </c>
      <c r="K15" s="459">
        <f t="shared" si="1"/>
        <v>0</v>
      </c>
      <c r="L15" s="459">
        <f t="shared" ca="1" si="1"/>
        <v>0</v>
      </c>
      <c r="M15" s="459">
        <f t="shared" si="1"/>
        <v>4040.9407905255543</v>
      </c>
      <c r="N15" s="459">
        <f t="shared" ca="1" si="1"/>
        <v>8477.9559103921929</v>
      </c>
      <c r="O15" s="459">
        <f t="shared" si="1"/>
        <v>457.11446522083156</v>
      </c>
      <c r="P15" s="459">
        <f t="shared" si="1"/>
        <v>1179.2808095330022</v>
      </c>
      <c r="Q15" s="459">
        <f t="shared" ca="1" si="1"/>
        <v>231649.18211073542</v>
      </c>
    </row>
    <row r="17" spans="1:17">
      <c r="A17" s="461" t="s">
        <v>539</v>
      </c>
      <c r="B17" s="777">
        <f ca="1">huishoudens!B10</f>
        <v>0.1863593590448244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5037.0568615443754</v>
      </c>
      <c r="C22" s="449">
        <f t="shared" ref="C22:C32" ca="1" si="3">C4*$C$17</f>
        <v>0</v>
      </c>
      <c r="D22" s="449">
        <f t="shared" ref="D22:D32" si="4">D4*$D$17</f>
        <v>7111.4182521468065</v>
      </c>
      <c r="E22" s="449">
        <f t="shared" ref="E22:E32" si="5">E4*$E$17</f>
        <v>474.26334769486397</v>
      </c>
      <c r="F22" s="449">
        <f t="shared" ref="F22:F32" si="6">F4*$F$17</f>
        <v>12670.574456930834</v>
      </c>
      <c r="G22" s="449">
        <f t="shared" ref="G22:G32" si="7">G4*$G$17</f>
        <v>0</v>
      </c>
      <c r="H22" s="449">
        <f t="shared" ref="H22:H32" si="8">H4*$H$17</f>
        <v>0</v>
      </c>
      <c r="I22" s="449">
        <f t="shared" ref="I22:I32" si="9">I4*$I$17</f>
        <v>0</v>
      </c>
      <c r="J22" s="449">
        <f t="shared" ref="J22:J32" si="10">J4*$J$17</f>
        <v>84.04350624636956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25377.356424563248</v>
      </c>
    </row>
    <row r="23" spans="1:17">
      <c r="A23" s="448" t="s">
        <v>155</v>
      </c>
      <c r="B23" s="449">
        <f t="shared" ca="1" si="2"/>
        <v>3030.464825677147</v>
      </c>
      <c r="C23" s="449">
        <f t="shared" ca="1" si="3"/>
        <v>0</v>
      </c>
      <c r="D23" s="449">
        <f t="shared" ca="1" si="4"/>
        <v>1748.8661839893721</v>
      </c>
      <c r="E23" s="449">
        <f t="shared" si="5"/>
        <v>5.2514865058174918</v>
      </c>
      <c r="F23" s="449">
        <f t="shared" ca="1" si="6"/>
        <v>436.77155799672289</v>
      </c>
      <c r="G23" s="449">
        <f t="shared" si="7"/>
        <v>0</v>
      </c>
      <c r="H23" s="449">
        <f t="shared" si="8"/>
        <v>0</v>
      </c>
      <c r="I23" s="449">
        <f t="shared" si="9"/>
        <v>0</v>
      </c>
      <c r="J23" s="449">
        <f t="shared" si="10"/>
        <v>1.4644896040838689E-3</v>
      </c>
      <c r="K23" s="449">
        <f t="shared" si="11"/>
        <v>0</v>
      </c>
      <c r="L23" s="449">
        <f t="shared" ca="1" si="12"/>
        <v>0</v>
      </c>
      <c r="M23" s="449">
        <f t="shared" si="13"/>
        <v>0</v>
      </c>
      <c r="N23" s="449">
        <f t="shared" ca="1" si="14"/>
        <v>0</v>
      </c>
      <c r="O23" s="449">
        <f t="shared" si="15"/>
        <v>0</v>
      </c>
      <c r="P23" s="450">
        <f t="shared" si="16"/>
        <v>0</v>
      </c>
      <c r="Q23" s="448">
        <f t="shared" ref="Q23:Q31" ca="1" si="17">SUM(B23:P23)</f>
        <v>5221.3555186586627</v>
      </c>
    </row>
    <row r="24" spans="1:17">
      <c r="A24" s="448" t="s">
        <v>193</v>
      </c>
      <c r="B24" s="449">
        <f t="shared" ca="1" si="2"/>
        <v>164.41703539216869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164.41703539216869</v>
      </c>
    </row>
    <row r="25" spans="1:17">
      <c r="A25" s="448" t="s">
        <v>111</v>
      </c>
      <c r="B25" s="449">
        <f t="shared" ca="1" si="2"/>
        <v>121.42349611142434</v>
      </c>
      <c r="C25" s="449">
        <f t="shared" ca="1" si="3"/>
        <v>0</v>
      </c>
      <c r="D25" s="449">
        <f t="shared" si="4"/>
        <v>11.066334162576002</v>
      </c>
      <c r="E25" s="449">
        <f t="shared" si="5"/>
        <v>5.5157603431822864</v>
      </c>
      <c r="F25" s="449">
        <f t="shared" si="6"/>
        <v>564.41085899060909</v>
      </c>
      <c r="G25" s="449">
        <f t="shared" si="7"/>
        <v>0</v>
      </c>
      <c r="H25" s="449">
        <f t="shared" si="8"/>
        <v>0</v>
      </c>
      <c r="I25" s="449">
        <f t="shared" si="9"/>
        <v>0</v>
      </c>
      <c r="J25" s="449">
        <f t="shared" si="10"/>
        <v>60.546948871237909</v>
      </c>
      <c r="K25" s="449">
        <f t="shared" si="11"/>
        <v>0</v>
      </c>
      <c r="L25" s="449">
        <f t="shared" si="12"/>
        <v>0</v>
      </c>
      <c r="M25" s="449">
        <f t="shared" si="13"/>
        <v>0</v>
      </c>
      <c r="N25" s="449">
        <f t="shared" si="14"/>
        <v>0</v>
      </c>
      <c r="O25" s="449">
        <f t="shared" si="15"/>
        <v>0</v>
      </c>
      <c r="P25" s="450">
        <f t="shared" si="16"/>
        <v>0</v>
      </c>
      <c r="Q25" s="448">
        <f t="shared" ca="1" si="17"/>
        <v>762.96339847902959</v>
      </c>
    </row>
    <row r="26" spans="1:17">
      <c r="A26" s="448" t="s">
        <v>618</v>
      </c>
      <c r="B26" s="449">
        <f t="shared" ca="1" si="2"/>
        <v>529.13272859446602</v>
      </c>
      <c r="C26" s="449">
        <f t="shared" ca="1" si="3"/>
        <v>0</v>
      </c>
      <c r="D26" s="449">
        <f t="shared" si="4"/>
        <v>134.449438987836</v>
      </c>
      <c r="E26" s="449">
        <f t="shared" si="5"/>
        <v>2.0957384863674675</v>
      </c>
      <c r="F26" s="449">
        <f t="shared" si="6"/>
        <v>224.36318673858358</v>
      </c>
      <c r="G26" s="449">
        <f t="shared" si="7"/>
        <v>0</v>
      </c>
      <c r="H26" s="449">
        <f t="shared" si="8"/>
        <v>0</v>
      </c>
      <c r="I26" s="449">
        <f t="shared" si="9"/>
        <v>0</v>
      </c>
      <c r="J26" s="449">
        <f t="shared" si="10"/>
        <v>2.5528706006353347E-2</v>
      </c>
      <c r="K26" s="449">
        <f t="shared" si="11"/>
        <v>0</v>
      </c>
      <c r="L26" s="449">
        <f t="shared" si="12"/>
        <v>0</v>
      </c>
      <c r="M26" s="449">
        <f t="shared" si="13"/>
        <v>0</v>
      </c>
      <c r="N26" s="449">
        <f t="shared" si="14"/>
        <v>0</v>
      </c>
      <c r="O26" s="449">
        <f t="shared" si="15"/>
        <v>0</v>
      </c>
      <c r="P26" s="450">
        <f t="shared" si="16"/>
        <v>0</v>
      </c>
      <c r="Q26" s="448">
        <f t="shared" ca="1" si="17"/>
        <v>890.06662151325941</v>
      </c>
    </row>
    <row r="27" spans="1:17" s="454" customFormat="1">
      <c r="A27" s="452" t="s">
        <v>544</v>
      </c>
      <c r="B27" s="771">
        <f t="shared" ca="1" si="2"/>
        <v>20.369560672797519</v>
      </c>
      <c r="C27" s="453">
        <f t="shared" ca="1" si="3"/>
        <v>0</v>
      </c>
      <c r="D27" s="453">
        <f t="shared" si="4"/>
        <v>42.464426660751464</v>
      </c>
      <c r="E27" s="453">
        <f t="shared" si="5"/>
        <v>26.028071590974488</v>
      </c>
      <c r="F27" s="453">
        <f t="shared" si="6"/>
        <v>0</v>
      </c>
      <c r="G27" s="453">
        <f t="shared" si="7"/>
        <v>14087.342615739826</v>
      </c>
      <c r="H27" s="453">
        <f t="shared" si="8"/>
        <v>3171.5297384368378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17347.734413101189</v>
      </c>
    </row>
    <row r="28" spans="1:17" ht="16.5" customHeight="1">
      <c r="A28" s="448" t="s">
        <v>534</v>
      </c>
      <c r="B28" s="449">
        <f t="shared" ca="1" si="2"/>
        <v>8.7451358463372397</v>
      </c>
      <c r="C28" s="449">
        <f t="shared" ca="1" si="3"/>
        <v>0</v>
      </c>
      <c r="D28" s="449">
        <f t="shared" si="4"/>
        <v>0</v>
      </c>
      <c r="E28" s="449">
        <f t="shared" si="5"/>
        <v>0</v>
      </c>
      <c r="F28" s="449">
        <f t="shared" si="6"/>
        <v>0</v>
      </c>
      <c r="G28" s="449">
        <f t="shared" si="7"/>
        <v>894.31844590565845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903.06358175199568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121.09241361497311</v>
      </c>
      <c r="C32" s="449">
        <f t="shared" ca="1" si="3"/>
        <v>0</v>
      </c>
      <c r="D32" s="449">
        <f t="shared" si="4"/>
        <v>135.04997708600001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256.14239070097312</v>
      </c>
    </row>
    <row r="33" spans="1:17" s="460" customFormat="1">
      <c r="A33" s="458" t="s">
        <v>538</v>
      </c>
      <c r="B33" s="459">
        <f ca="1">SUM(B22:B32)</f>
        <v>9032.7020574536891</v>
      </c>
      <c r="C33" s="459">
        <f t="shared" ref="C33:Q33" ca="1" si="19">SUM(C22:C32)</f>
        <v>0</v>
      </c>
      <c r="D33" s="459">
        <f t="shared" ca="1" si="19"/>
        <v>9183.3146130333444</v>
      </c>
      <c r="E33" s="459">
        <f t="shared" si="19"/>
        <v>513.15440462120569</v>
      </c>
      <c r="F33" s="459">
        <f t="shared" ca="1" si="19"/>
        <v>13896.120060656749</v>
      </c>
      <c r="G33" s="459">
        <f t="shared" si="19"/>
        <v>14981.661061645485</v>
      </c>
      <c r="H33" s="459">
        <f t="shared" si="19"/>
        <v>3171.5297384368378</v>
      </c>
      <c r="I33" s="459">
        <f t="shared" si="19"/>
        <v>0</v>
      </c>
      <c r="J33" s="459">
        <f t="shared" si="19"/>
        <v>144.61744831321792</v>
      </c>
      <c r="K33" s="459">
        <f t="shared" si="19"/>
        <v>0</v>
      </c>
      <c r="L33" s="459">
        <f t="shared" ca="1" si="19"/>
        <v>0</v>
      </c>
      <c r="M33" s="459">
        <f t="shared" si="19"/>
        <v>0</v>
      </c>
      <c r="N33" s="459">
        <f t="shared" ca="1" si="19"/>
        <v>0</v>
      </c>
      <c r="O33" s="459">
        <f t="shared" si="19"/>
        <v>0</v>
      </c>
      <c r="P33" s="459">
        <f t="shared" si="19"/>
        <v>0</v>
      </c>
      <c r="Q33" s="459">
        <f t="shared" ca="1" si="19"/>
        <v>50923.099384160523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6782.8148111931059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814.5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2327.1428571428573</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7597.3148111931059</v>
      </c>
      <c r="C10" s="1017">
        <f>SUM(C4:C9)</f>
        <v>0</v>
      </c>
      <c r="D10" s="1017">
        <f t="shared" ref="D10:H10" si="0">SUM(D8:D9)</f>
        <v>0</v>
      </c>
      <c r="E10" s="1017">
        <f t="shared" si="0"/>
        <v>0</v>
      </c>
      <c r="F10" s="1017">
        <f t="shared" si="0"/>
        <v>0</v>
      </c>
      <c r="G10" s="1017">
        <f t="shared" si="0"/>
        <v>0</v>
      </c>
      <c r="H10" s="1017">
        <f t="shared" si="0"/>
        <v>0</v>
      </c>
      <c r="I10" s="1017">
        <f>SUM(I8:I9)</f>
        <v>0</v>
      </c>
      <c r="J10" s="1017">
        <f>SUM(J8:J9)</f>
        <v>2327.1428571428573</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0.1863593590448244</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0.1863593590448244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0.1863593590448244</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0.1863593590448244</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5665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2332</v>
      </c>
      <c r="C14" s="326"/>
      <c r="D14" s="326"/>
      <c r="E14" s="326"/>
      <c r="F14" s="326"/>
    </row>
    <row r="15" spans="1:6">
      <c r="A15" s="1307" t="s">
        <v>183</v>
      </c>
      <c r="B15" s="1308">
        <v>426</v>
      </c>
      <c r="C15" s="326"/>
      <c r="D15" s="326"/>
      <c r="E15" s="326"/>
      <c r="F15" s="326"/>
    </row>
    <row r="16" spans="1:6">
      <c r="A16" s="1307" t="s">
        <v>6</v>
      </c>
      <c r="B16" s="1308">
        <v>449</v>
      </c>
      <c r="C16" s="326"/>
      <c r="D16" s="326"/>
      <c r="E16" s="326"/>
      <c r="F16" s="326"/>
    </row>
    <row r="17" spans="1:6">
      <c r="A17" s="1307" t="s">
        <v>7</v>
      </c>
      <c r="B17" s="1308">
        <v>243</v>
      </c>
      <c r="C17" s="326"/>
      <c r="D17" s="326"/>
      <c r="E17" s="326"/>
      <c r="F17" s="326"/>
    </row>
    <row r="18" spans="1:6">
      <c r="A18" s="1307" t="s">
        <v>8</v>
      </c>
      <c r="B18" s="1308">
        <v>489</v>
      </c>
      <c r="C18" s="326"/>
      <c r="D18" s="326"/>
      <c r="E18" s="326"/>
      <c r="F18" s="326"/>
    </row>
    <row r="19" spans="1:6">
      <c r="A19" s="1307" t="s">
        <v>9</v>
      </c>
      <c r="B19" s="1308">
        <v>463</v>
      </c>
      <c r="C19" s="326"/>
      <c r="D19" s="326"/>
      <c r="E19" s="326"/>
      <c r="F19" s="326"/>
    </row>
    <row r="20" spans="1:6">
      <c r="A20" s="1307" t="s">
        <v>10</v>
      </c>
      <c r="B20" s="1308">
        <v>290</v>
      </c>
      <c r="C20" s="326"/>
      <c r="D20" s="326"/>
      <c r="E20" s="326"/>
      <c r="F20" s="326"/>
    </row>
    <row r="21" spans="1:6">
      <c r="A21" s="1307" t="s">
        <v>11</v>
      </c>
      <c r="B21" s="1308">
        <v>842</v>
      </c>
      <c r="C21" s="326"/>
      <c r="D21" s="326"/>
      <c r="E21" s="326"/>
      <c r="F21" s="326"/>
    </row>
    <row r="22" spans="1:6">
      <c r="A22" s="1307" t="s">
        <v>12</v>
      </c>
      <c r="B22" s="1308">
        <v>1865</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167</v>
      </c>
      <c r="C26" s="326"/>
      <c r="D26" s="326"/>
      <c r="E26" s="326"/>
      <c r="F26" s="326"/>
    </row>
    <row r="27" spans="1:6">
      <c r="A27" s="1307" t="s">
        <v>17</v>
      </c>
      <c r="B27" s="1308">
        <v>1</v>
      </c>
      <c r="C27" s="326"/>
      <c r="D27" s="326"/>
      <c r="E27" s="326"/>
      <c r="F27" s="326"/>
    </row>
    <row r="28" spans="1:6" s="43" customFormat="1">
      <c r="A28" s="1309" t="s">
        <v>18</v>
      </c>
      <c r="B28" s="1310">
        <v>0</v>
      </c>
      <c r="C28" s="332"/>
      <c r="D28" s="332"/>
      <c r="E28" s="332"/>
      <c r="F28" s="332"/>
    </row>
    <row r="29" spans="1:6">
      <c r="A29" s="1309" t="s">
        <v>688</v>
      </c>
      <c r="B29" s="1310">
        <v>259</v>
      </c>
      <c r="C29" s="332"/>
      <c r="D29" s="332"/>
      <c r="E29" s="332"/>
      <c r="F29" s="332"/>
    </row>
    <row r="30" spans="1:6">
      <c r="A30" s="1302" t="s">
        <v>689</v>
      </c>
      <c r="B30" s="1311">
        <v>48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655758.41099999996</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1584527.9909999999</v>
      </c>
    </row>
    <row r="39" spans="1:6">
      <c r="A39" s="1307" t="s">
        <v>29</v>
      </c>
      <c r="B39" s="1307" t="s">
        <v>30</v>
      </c>
      <c r="C39" s="1308">
        <v>2325</v>
      </c>
      <c r="D39" s="1308">
        <v>38986756.203999899</v>
      </c>
      <c r="E39" s="1308">
        <v>5576</v>
      </c>
      <c r="F39" s="1308">
        <v>21655871.978</v>
      </c>
    </row>
    <row r="40" spans="1:6">
      <c r="A40" s="1307" t="s">
        <v>29</v>
      </c>
      <c r="B40" s="1307" t="s">
        <v>28</v>
      </c>
      <c r="C40" s="1308">
        <v>0</v>
      </c>
      <c r="D40" s="1308">
        <v>0</v>
      </c>
      <c r="E40" s="1308">
        <v>0</v>
      </c>
      <c r="F40" s="1308">
        <v>0</v>
      </c>
    </row>
    <row r="41" spans="1:6">
      <c r="A41" s="1307" t="s">
        <v>31</v>
      </c>
      <c r="B41" s="1307" t="s">
        <v>32</v>
      </c>
      <c r="C41" s="1308">
        <v>23</v>
      </c>
      <c r="D41" s="1308">
        <v>472194.95699999999</v>
      </c>
      <c r="E41" s="1308">
        <v>97</v>
      </c>
      <c r="F41" s="1308">
        <v>1296748.1029999999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6</v>
      </c>
      <c r="F44" s="1308">
        <v>56440.01</v>
      </c>
    </row>
    <row r="45" spans="1:6">
      <c r="A45" s="1307" t="s">
        <v>31</v>
      </c>
      <c r="B45" s="1307" t="s">
        <v>36</v>
      </c>
      <c r="C45" s="1308">
        <v>0</v>
      </c>
      <c r="D45" s="1308">
        <v>0</v>
      </c>
      <c r="E45" s="1308">
        <v>3</v>
      </c>
      <c r="F45" s="1308">
        <v>878971</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87018.093999999997</v>
      </c>
    </row>
    <row r="48" spans="1:6">
      <c r="A48" s="1307" t="s">
        <v>31</v>
      </c>
      <c r="B48" s="1307" t="s">
        <v>28</v>
      </c>
      <c r="C48" s="1308">
        <v>6</v>
      </c>
      <c r="D48" s="1308">
        <v>187143.20600000001</v>
      </c>
      <c r="E48" s="1308">
        <v>2</v>
      </c>
      <c r="F48" s="1308">
        <v>9638.8780000000006</v>
      </c>
    </row>
    <row r="49" spans="1:6">
      <c r="A49" s="1307" t="s">
        <v>31</v>
      </c>
      <c r="B49" s="1307" t="s">
        <v>39</v>
      </c>
      <c r="C49" s="1308">
        <v>0</v>
      </c>
      <c r="D49" s="1308">
        <v>0</v>
      </c>
      <c r="E49" s="1308">
        <v>0</v>
      </c>
      <c r="F49" s="1308">
        <v>0</v>
      </c>
    </row>
    <row r="50" spans="1:6">
      <c r="A50" s="1307" t="s">
        <v>31</v>
      </c>
      <c r="B50" s="1307" t="s">
        <v>40</v>
      </c>
      <c r="C50" s="1308">
        <v>6</v>
      </c>
      <c r="D50" s="1308">
        <v>77750.743000000002</v>
      </c>
      <c r="E50" s="1308">
        <v>12</v>
      </c>
      <c r="F50" s="1308">
        <v>510497.86900000001</v>
      </c>
    </row>
    <row r="51" spans="1:6">
      <c r="A51" s="1307" t="s">
        <v>41</v>
      </c>
      <c r="B51" s="1307" t="s">
        <v>42</v>
      </c>
      <c r="C51" s="1308">
        <v>3</v>
      </c>
      <c r="D51" s="1308">
        <v>60668.696000000004</v>
      </c>
      <c r="E51" s="1308">
        <v>68</v>
      </c>
      <c r="F51" s="1308">
        <v>651555.66500000004</v>
      </c>
    </row>
    <row r="52" spans="1:6">
      <c r="A52" s="1307" t="s">
        <v>41</v>
      </c>
      <c r="B52" s="1307" t="s">
        <v>28</v>
      </c>
      <c r="C52" s="1308">
        <v>0</v>
      </c>
      <c r="D52" s="1308">
        <v>0</v>
      </c>
      <c r="E52" s="1308">
        <v>0</v>
      </c>
      <c r="F52" s="1308">
        <v>0</v>
      </c>
    </row>
    <row r="53" spans="1:6">
      <c r="A53" s="1307" t="s">
        <v>43</v>
      </c>
      <c r="B53" s="1307" t="s">
        <v>44</v>
      </c>
      <c r="C53" s="1308">
        <v>25</v>
      </c>
      <c r="D53" s="1308">
        <v>668564.24300000002</v>
      </c>
      <c r="E53" s="1308">
        <v>98</v>
      </c>
      <c r="F53" s="1308">
        <v>649779.08400000003</v>
      </c>
    </row>
    <row r="54" spans="1:6">
      <c r="A54" s="1307" t="s">
        <v>45</v>
      </c>
      <c r="B54" s="1307" t="s">
        <v>46</v>
      </c>
      <c r="C54" s="1308">
        <v>0</v>
      </c>
      <c r="D54" s="1308">
        <v>0</v>
      </c>
      <c r="E54" s="1308">
        <v>1</v>
      </c>
      <c r="F54" s="1308">
        <v>882258</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26</v>
      </c>
      <c r="D57" s="1308">
        <v>582545.95799999998</v>
      </c>
      <c r="E57" s="1308">
        <v>69</v>
      </c>
      <c r="F57" s="1308">
        <v>418899.51799999998</v>
      </c>
    </row>
    <row r="58" spans="1:6">
      <c r="A58" s="1307" t="s">
        <v>48</v>
      </c>
      <c r="B58" s="1307" t="s">
        <v>50</v>
      </c>
      <c r="C58" s="1308">
        <v>20</v>
      </c>
      <c r="D58" s="1308">
        <v>1242301.8030000001</v>
      </c>
      <c r="E58" s="1308">
        <v>37</v>
      </c>
      <c r="F58" s="1308">
        <v>1219694.672</v>
      </c>
    </row>
    <row r="59" spans="1:6">
      <c r="A59" s="1307" t="s">
        <v>48</v>
      </c>
      <c r="B59" s="1307" t="s">
        <v>51</v>
      </c>
      <c r="C59" s="1308">
        <v>46</v>
      </c>
      <c r="D59" s="1308">
        <v>2115011.1830000002</v>
      </c>
      <c r="E59" s="1308">
        <v>150</v>
      </c>
      <c r="F59" s="1308">
        <v>4566811.7690000003</v>
      </c>
    </row>
    <row r="60" spans="1:6">
      <c r="A60" s="1307" t="s">
        <v>48</v>
      </c>
      <c r="B60" s="1307" t="s">
        <v>52</v>
      </c>
      <c r="C60" s="1308">
        <v>23</v>
      </c>
      <c r="D60" s="1308">
        <v>1021273.57</v>
      </c>
      <c r="E60" s="1308">
        <v>51</v>
      </c>
      <c r="F60" s="1308">
        <v>4621170.5060000001</v>
      </c>
    </row>
    <row r="61" spans="1:6">
      <c r="A61" s="1307" t="s">
        <v>48</v>
      </c>
      <c r="B61" s="1307" t="s">
        <v>53</v>
      </c>
      <c r="C61" s="1308">
        <v>98</v>
      </c>
      <c r="D61" s="1308">
        <v>4470241.5489999996</v>
      </c>
      <c r="E61" s="1308">
        <v>290</v>
      </c>
      <c r="F61" s="1308">
        <v>4528365.3370000003</v>
      </c>
    </row>
    <row r="62" spans="1:6">
      <c r="A62" s="1307" t="s">
        <v>48</v>
      </c>
      <c r="B62" s="1307" t="s">
        <v>54</v>
      </c>
      <c r="C62" s="1308">
        <v>4</v>
      </c>
      <c r="D62" s="1308">
        <v>156392.69899999999</v>
      </c>
      <c r="E62" s="1308">
        <v>9</v>
      </c>
      <c r="F62" s="1308">
        <v>91962.192999999999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14211.557000000001</v>
      </c>
      <c r="E65" s="1308">
        <v>0</v>
      </c>
      <c r="F65" s="1308">
        <v>0</v>
      </c>
    </row>
    <row r="66" spans="1:6">
      <c r="A66" s="1307" t="s">
        <v>55</v>
      </c>
      <c r="B66" s="1307" t="s">
        <v>57</v>
      </c>
      <c r="C66" s="1308">
        <v>0</v>
      </c>
      <c r="D66" s="1308">
        <v>0</v>
      </c>
      <c r="E66" s="1308">
        <v>4</v>
      </c>
      <c r="F66" s="1308">
        <v>119838.755</v>
      </c>
    </row>
    <row r="67" spans="1:6">
      <c r="A67" s="1309" t="s">
        <v>55</v>
      </c>
      <c r="B67" s="1309" t="s">
        <v>58</v>
      </c>
      <c r="C67" s="1308">
        <v>0</v>
      </c>
      <c r="D67" s="1308">
        <v>0</v>
      </c>
      <c r="E67" s="1308">
        <v>0</v>
      </c>
      <c r="F67" s="1308">
        <v>0</v>
      </c>
    </row>
    <row r="68" spans="1:6">
      <c r="A68" s="1302" t="s">
        <v>55</v>
      </c>
      <c r="B68" s="1302" t="s">
        <v>59</v>
      </c>
      <c r="C68" s="1311">
        <v>0</v>
      </c>
      <c r="D68" s="1311">
        <v>0</v>
      </c>
      <c r="E68" s="1311">
        <v>10</v>
      </c>
      <c r="F68" s="1311">
        <v>58125.724000000002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47727255</v>
      </c>
      <c r="E73" s="447"/>
      <c r="F73" s="326"/>
    </row>
    <row r="74" spans="1:6">
      <c r="A74" s="1307" t="s">
        <v>63</v>
      </c>
      <c r="B74" s="1307" t="s">
        <v>639</v>
      </c>
      <c r="C74" s="1321" t="s">
        <v>641</v>
      </c>
      <c r="D74" s="1322">
        <v>5603246.2204114767</v>
      </c>
      <c r="E74" s="447"/>
      <c r="F74" s="326"/>
    </row>
    <row r="75" spans="1:6">
      <c r="A75" s="1307" t="s">
        <v>64</v>
      </c>
      <c r="B75" s="1307" t="s">
        <v>638</v>
      </c>
      <c r="C75" s="1321" t="s">
        <v>642</v>
      </c>
      <c r="D75" s="1322">
        <v>23241885</v>
      </c>
      <c r="E75" s="447"/>
      <c r="F75" s="326"/>
    </row>
    <row r="76" spans="1:6">
      <c r="A76" s="1307" t="s">
        <v>64</v>
      </c>
      <c r="B76" s="1307" t="s">
        <v>639</v>
      </c>
      <c r="C76" s="1321" t="s">
        <v>643</v>
      </c>
      <c r="D76" s="1322">
        <v>1344612.2204114764</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991875.55917704699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5372.8583597815814</v>
      </c>
      <c r="C91" s="326"/>
      <c r="D91" s="326"/>
      <c r="E91" s="326"/>
      <c r="F91" s="326"/>
    </row>
    <row r="92" spans="1:6">
      <c r="A92" s="1302" t="s">
        <v>68</v>
      </c>
      <c r="B92" s="1303">
        <v>1409.9564514115241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508</v>
      </c>
      <c r="C97" s="326"/>
      <c r="D97" s="326"/>
      <c r="E97" s="326"/>
      <c r="F97" s="326"/>
    </row>
    <row r="98" spans="1:6">
      <c r="A98" s="1307" t="s">
        <v>71</v>
      </c>
      <c r="B98" s="1308">
        <v>0</v>
      </c>
      <c r="C98" s="326"/>
      <c r="D98" s="326"/>
      <c r="E98" s="326"/>
      <c r="F98" s="326"/>
    </row>
    <row r="99" spans="1:6">
      <c r="A99" s="1307" t="s">
        <v>72</v>
      </c>
      <c r="B99" s="1308">
        <v>84</v>
      </c>
      <c r="C99" s="326"/>
      <c r="D99" s="326"/>
      <c r="E99" s="326"/>
      <c r="F99" s="326"/>
    </row>
    <row r="100" spans="1:6">
      <c r="A100" s="1307" t="s">
        <v>73</v>
      </c>
      <c r="B100" s="1308">
        <v>438</v>
      </c>
      <c r="C100" s="326"/>
      <c r="D100" s="326"/>
      <c r="E100" s="326"/>
      <c r="F100" s="326"/>
    </row>
    <row r="101" spans="1:6">
      <c r="A101" s="1307" t="s">
        <v>74</v>
      </c>
      <c r="B101" s="1308">
        <v>54</v>
      </c>
      <c r="C101" s="326"/>
      <c r="D101" s="326"/>
      <c r="E101" s="326"/>
      <c r="F101" s="326"/>
    </row>
    <row r="102" spans="1:6">
      <c r="A102" s="1307" t="s">
        <v>75</v>
      </c>
      <c r="B102" s="1308">
        <v>49</v>
      </c>
      <c r="C102" s="326"/>
      <c r="D102" s="326"/>
      <c r="E102" s="326"/>
      <c r="F102" s="326"/>
    </row>
    <row r="103" spans="1:6">
      <c r="A103" s="1307" t="s">
        <v>76</v>
      </c>
      <c r="B103" s="1308">
        <v>114</v>
      </c>
      <c r="C103" s="326"/>
      <c r="D103" s="326"/>
      <c r="E103" s="326"/>
      <c r="F103" s="326"/>
    </row>
    <row r="104" spans="1:6">
      <c r="A104" s="1307" t="s">
        <v>77</v>
      </c>
      <c r="B104" s="1308">
        <v>3638</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57</v>
      </c>
      <c r="C123" s="1308">
        <v>41</v>
      </c>
      <c r="D123" s="326"/>
      <c r="E123" s="326"/>
      <c r="F123" s="326"/>
    </row>
    <row r="124" spans="1:6" s="43" customFormat="1">
      <c r="A124" s="1309" t="s">
        <v>88</v>
      </c>
      <c r="B124" s="1330">
        <v>1</v>
      </c>
      <c r="C124" s="1330">
        <v>1</v>
      </c>
      <c r="D124" s="332"/>
      <c r="E124" s="332"/>
      <c r="F124" s="332"/>
    </row>
    <row r="125" spans="1:6">
      <c r="A125" s="1302" t="s">
        <v>827</v>
      </c>
      <c r="B125" s="1330">
        <v>1</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181</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34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48469.26982229577</v>
      </c>
      <c r="C3" s="43" t="s">
        <v>169</v>
      </c>
      <c r="D3" s="43"/>
      <c r="E3" s="154"/>
      <c r="F3" s="43"/>
      <c r="G3" s="43"/>
      <c r="H3" s="43"/>
      <c r="I3" s="43"/>
      <c r="J3" s="43"/>
      <c r="K3" s="96"/>
    </row>
    <row r="4" spans="1:11">
      <c r="A4" s="354" t="s">
        <v>170</v>
      </c>
      <c r="B4" s="49">
        <f>IF(ISERROR('SEAP template'!B78+'SEAP template'!C78),0,'SEAP template'!B78+'SEAP template'!C78)</f>
        <v>7597.3148111931059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0.1863593590448244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882.25800000000004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882.25800000000004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0.1863593590448244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164.41703539216869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21655.871977999999</v>
      </c>
      <c r="C5" s="17">
        <f>IF(ISERROR('Eigen informatie GS &amp; warmtenet'!B59),0,'Eigen informatie GS &amp; warmtenet'!B59)</f>
        <v>0</v>
      </c>
      <c r="D5" s="30">
        <f>(SUM(HH_hh_gas_kWh,HH_rest_gas_kWh)/1000)*0.903</f>
        <v>35205.040852211911</v>
      </c>
      <c r="E5" s="17">
        <f>B32*B41</f>
        <v>2089.2658488760526</v>
      </c>
      <c r="F5" s="17">
        <f>B36*B45</f>
        <v>47455.335044684769</v>
      </c>
      <c r="G5" s="18"/>
      <c r="H5" s="17"/>
      <c r="I5" s="17"/>
      <c r="J5" s="17">
        <f>B35*B44+C35*C44</f>
        <v>237.41103459426432</v>
      </c>
      <c r="K5" s="17"/>
      <c r="L5" s="17"/>
      <c r="M5" s="17"/>
      <c r="N5" s="17">
        <f>B34*B43+C34*C43</f>
        <v>8256.6118181572365</v>
      </c>
      <c r="O5" s="17">
        <f>B52*B53*B54</f>
        <v>442.42268292330812</v>
      </c>
      <c r="P5" s="17">
        <f>B60*B61*B62/1000-B60*B61*B62/1000/B63</f>
        <v>969.12425630702205</v>
      </c>
    </row>
    <row r="6" spans="1:16">
      <c r="A6" s="16" t="s">
        <v>604</v>
      </c>
      <c r="B6" s="779">
        <f>kWh_PV_kleiner_dan_10kW</f>
        <v>5372.8583597815814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27028.730337781581</v>
      </c>
      <c r="C8" s="21">
        <f>C5</f>
        <v>0</v>
      </c>
      <c r="D8" s="21">
        <f>D5</f>
        <v>35205.040852211911</v>
      </c>
      <c r="E8" s="21">
        <f>E5</f>
        <v>2089.2658488760526</v>
      </c>
      <c r="F8" s="21">
        <f>F5</f>
        <v>47455.335044684769</v>
      </c>
      <c r="G8" s="21"/>
      <c r="H8" s="21"/>
      <c r="I8" s="21"/>
      <c r="J8" s="21">
        <f>J5</f>
        <v>237.41103459426432</v>
      </c>
      <c r="K8" s="21"/>
      <c r="L8" s="21">
        <f>L5</f>
        <v>0</v>
      </c>
      <c r="M8" s="21">
        <f>M5</f>
        <v>0</v>
      </c>
      <c r="N8" s="21">
        <f>N5</f>
        <v>8256.6118181572365</v>
      </c>
      <c r="O8" s="21">
        <f>O5</f>
        <v>442.42268292330812</v>
      </c>
      <c r="P8" s="21">
        <f>P5</f>
        <v>969.12425630702205</v>
      </c>
    </row>
    <row r="9" spans="1:16">
      <c r="B9" s="19"/>
      <c r="C9" s="19"/>
      <c r="D9" s="254"/>
      <c r="E9" s="19"/>
      <c r="F9" s="19"/>
      <c r="G9" s="19"/>
      <c r="H9" s="19"/>
      <c r="I9" s="19"/>
      <c r="J9" s="19"/>
      <c r="K9" s="19"/>
      <c r="L9" s="19"/>
      <c r="M9" s="19"/>
      <c r="N9" s="19"/>
      <c r="O9" s="19"/>
      <c r="P9" s="19"/>
    </row>
    <row r="10" spans="1:16">
      <c r="A10" s="24" t="s">
        <v>213</v>
      </c>
      <c r="B10" s="25">
        <f ca="1">'EF ele_warmte'!B12</f>
        <v>0.1863593590448244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5037.0568615443754</v>
      </c>
      <c r="C12" s="23">
        <f ca="1">C10*C8</f>
        <v>0</v>
      </c>
      <c r="D12" s="23">
        <f>D8*D10</f>
        <v>7111.4182521468065</v>
      </c>
      <c r="E12" s="23">
        <f>E10*E8</f>
        <v>474.26334769486397</v>
      </c>
      <c r="F12" s="23">
        <f>F10*F8</f>
        <v>12670.574456930834</v>
      </c>
      <c r="G12" s="23"/>
      <c r="H12" s="23"/>
      <c r="I12" s="23"/>
      <c r="J12" s="23">
        <f>J10*J8</f>
        <v>84.04350624636956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5665</v>
      </c>
      <c r="C26" s="36"/>
      <c r="D26" s="225"/>
    </row>
    <row r="27" spans="1:5" s="15" customFormat="1">
      <c r="A27" s="227" t="s">
        <v>817</v>
      </c>
      <c r="B27" s="37">
        <f>SUM(HH_hh_gas_aantal,HH_rest_gas_aantal)</f>
        <v>2325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2208.75</v>
      </c>
      <c r="C31" s="34" t="s">
        <v>110</v>
      </c>
      <c r="D31" s="171"/>
    </row>
    <row r="32" spans="1:5">
      <c r="A32" s="168" t="s">
        <v>72</v>
      </c>
      <c r="B32" s="33">
        <f>IF((B21*($B$26-($B$27-0.05*$B$27)-$B$60))&lt;0,0,B21*($B$26-($B$27-0.05*$B$27)-$B$60))</f>
        <v>51.780379571130197</v>
      </c>
      <c r="C32" s="34" t="s">
        <v>110</v>
      </c>
      <c r="D32" s="171"/>
    </row>
    <row r="33" spans="1:6">
      <c r="A33" s="168" t="s">
        <v>73</v>
      </c>
      <c r="B33" s="33">
        <f>IF((B22*($B$26-($B$27-0.05*$B$27)-$B$60))&lt;0,0,B22*($B$26-($B$27-0.05*$B$27)-$B$60))</f>
        <v>840.81081206781266</v>
      </c>
      <c r="C33" s="34" t="s">
        <v>110</v>
      </c>
      <c r="D33" s="171"/>
    </row>
    <row r="34" spans="1:6">
      <c r="A34" s="168" t="s">
        <v>74</v>
      </c>
      <c r="B34" s="33">
        <f>IF((B24*($B$26-($B$27-0.05*$B$27)-$B$60))&lt;0,0,B24*($B$26-($B$27-0.05*$B$27)-$B$60))</f>
        <v>161.05576956918236</v>
      </c>
      <c r="C34" s="33">
        <f>B26*C24</f>
        <v>1160.0441442462077</v>
      </c>
      <c r="D34" s="230"/>
    </row>
    <row r="35" spans="1:6">
      <c r="A35" s="168" t="s">
        <v>76</v>
      </c>
      <c r="B35" s="33">
        <f>IF((B19*($B$26-($B$27-0.05*$B$27)-$B$60))&lt;0,0,B19*($B$26-($B$27-0.05*$B$27)-$B$60))</f>
        <v>22.508807551766463</v>
      </c>
      <c r="C35" s="33">
        <f>B35/2</f>
        <v>11.254403775883231</v>
      </c>
      <c r="D35" s="230"/>
    </row>
    <row r="36" spans="1:6">
      <c r="A36" s="168" t="s">
        <v>77</v>
      </c>
      <c r="B36" s="33">
        <f>IF((B18*($B$26-($B$27-0.05*$B$27)-$B$60))&lt;0,0,B18*($B$26-($B$27-0.05*$B$27)-$B$60))</f>
        <v>2288.0942312401075</v>
      </c>
      <c r="C36" s="34" t="s">
        <v>110</v>
      </c>
      <c r="D36" s="171"/>
    </row>
    <row r="37" spans="1:6">
      <c r="A37" s="168" t="s">
        <v>78</v>
      </c>
      <c r="B37" s="33">
        <f>B60</f>
        <v>92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223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15446.903995000001</v>
      </c>
      <c r="C5" s="17">
        <f>IF(ISERROR('Eigen informatie GS &amp; warmtenet'!B60),0,'Eigen informatie GS &amp; warmtenet'!B60)</f>
        <v>0</v>
      </c>
      <c r="D5" s="30">
        <f>SUM(D6:D12)</f>
        <v>8657.7533860860003</v>
      </c>
      <c r="E5" s="17">
        <f>SUM(E6:E12)</f>
        <v>23.134301787742253</v>
      </c>
      <c r="F5" s="17">
        <f>SUM(F6:F12)</f>
        <v>1635.848531822932</v>
      </c>
      <c r="G5" s="18"/>
      <c r="H5" s="17"/>
      <c r="I5" s="17"/>
      <c r="J5" s="17">
        <f>SUM(J6:J12)</f>
        <v>4.1369762827227936E-3</v>
      </c>
      <c r="K5" s="17"/>
      <c r="L5" s="17"/>
      <c r="M5" s="17"/>
      <c r="N5" s="17">
        <f>SUM(N6:N12)</f>
        <v>164.13215296279773</v>
      </c>
      <c r="O5" s="17">
        <f>B38*B39*B40</f>
        <v>14.691782297523464</v>
      </c>
      <c r="P5" s="17">
        <f>B46*B47*B48/1000-B46*B47*B48/1000/B49</f>
        <v>210.15655322598008</v>
      </c>
      <c r="R5" s="32"/>
    </row>
    <row r="6" spans="1:18">
      <c r="A6" s="32" t="s">
        <v>53</v>
      </c>
      <c r="B6" s="37">
        <f>B26</f>
        <v>4528.3653370000002</v>
      </c>
      <c r="C6" s="33"/>
      <c r="D6" s="37">
        <f>IF(ISERROR(TER_kantoor_gas_kWh/1000),0,TER_kantoor_gas_kWh/1000)*0.903</f>
        <v>4036.6281187469995</v>
      </c>
      <c r="E6" s="33">
        <f>$C$26*'E Balans VL '!I12/100/3.6*1000000</f>
        <v>1.0848886972262823</v>
      </c>
      <c r="F6" s="33">
        <f>$C$26*('E Balans VL '!L12+'E Balans VL '!N12)/100/3.6*1000000</f>
        <v>429.41956620053656</v>
      </c>
      <c r="G6" s="34"/>
      <c r="H6" s="33"/>
      <c r="I6" s="33"/>
      <c r="J6" s="33">
        <f>$C$26*('E Balans VL '!D12+'E Balans VL '!E12)/100/3.6*1000000</f>
        <v>0</v>
      </c>
      <c r="K6" s="33"/>
      <c r="L6" s="33"/>
      <c r="M6" s="33"/>
      <c r="N6" s="33">
        <f>$C$26*'E Balans VL '!Y12/100/3.6*1000000</f>
        <v>2.3001753674047229</v>
      </c>
      <c r="O6" s="33"/>
      <c r="P6" s="33"/>
      <c r="R6" s="32"/>
    </row>
    <row r="7" spans="1:18">
      <c r="A7" s="32" t="s">
        <v>52</v>
      </c>
      <c r="B7" s="37">
        <f t="shared" ref="B7:B12" si="0">B27</f>
        <v>4621.1705060000004</v>
      </c>
      <c r="C7" s="33"/>
      <c r="D7" s="37">
        <f>IF(ISERROR(TER_horeca_gas_kWh/1000),0,TER_horeca_gas_kWh/1000)*0.903</f>
        <v>922.21003370999995</v>
      </c>
      <c r="E7" s="33">
        <f>$C$27*'E Balans VL '!I9/100/3.6*1000000</f>
        <v>0</v>
      </c>
      <c r="F7" s="33">
        <f>$C$27*('E Balans VL '!L9+'E Balans VL '!N9)/100/3.6*1000000</f>
        <v>378.9251185559458</v>
      </c>
      <c r="G7" s="34"/>
      <c r="H7" s="33"/>
      <c r="I7" s="33"/>
      <c r="J7" s="33">
        <f>$C$27*('E Balans VL '!D9+'E Balans VL '!E9)/100/3.6*1000000</f>
        <v>0</v>
      </c>
      <c r="K7" s="33"/>
      <c r="L7" s="33"/>
      <c r="M7" s="33"/>
      <c r="N7" s="33">
        <f>$C$27*'E Balans VL '!Y9/100/3.6*1000000</f>
        <v>1.4165744251044325</v>
      </c>
      <c r="O7" s="33"/>
      <c r="P7" s="33"/>
      <c r="R7" s="32"/>
    </row>
    <row r="8" spans="1:18">
      <c r="A8" s="6" t="s">
        <v>51</v>
      </c>
      <c r="B8" s="37">
        <f t="shared" si="0"/>
        <v>4566.8117689999999</v>
      </c>
      <c r="C8" s="33"/>
      <c r="D8" s="37">
        <f>IF(ISERROR(TER_handel_gas_kWh/1000),0,TER_handel_gas_kWh/1000)*0.903</f>
        <v>1909.8550982490001</v>
      </c>
      <c r="E8" s="33">
        <f>$C$28*'E Balans VL '!I13/100/3.6*1000000</f>
        <v>16.049847362894834</v>
      </c>
      <c r="F8" s="33">
        <f>$C$28*('E Balans VL '!L13+'E Balans VL '!N13)/100/3.6*1000000</f>
        <v>417.85507563495372</v>
      </c>
      <c r="G8" s="34"/>
      <c r="H8" s="33"/>
      <c r="I8" s="33"/>
      <c r="J8" s="33">
        <f>$C$28*('E Balans VL '!D13+'E Balans VL '!E13)/100/3.6*1000000</f>
        <v>0</v>
      </c>
      <c r="K8" s="33"/>
      <c r="L8" s="33"/>
      <c r="M8" s="33"/>
      <c r="N8" s="33">
        <f>$C$28*'E Balans VL '!Y13/100/3.6*1000000</f>
        <v>1.6539026141271391</v>
      </c>
      <c r="O8" s="33"/>
      <c r="P8" s="33"/>
      <c r="R8" s="32"/>
    </row>
    <row r="9" spans="1:18">
      <c r="A9" s="32" t="s">
        <v>50</v>
      </c>
      <c r="B9" s="37">
        <f t="shared" si="0"/>
        <v>1219.6946720000001</v>
      </c>
      <c r="C9" s="33"/>
      <c r="D9" s="37">
        <f>IF(ISERROR(TER_gezond_gas_kWh/1000),0,TER_gezond_gas_kWh/1000)*0.903</f>
        <v>1121.798528109</v>
      </c>
      <c r="E9" s="33">
        <f>$C$29*'E Balans VL '!I10/100/3.6*1000000</f>
        <v>0</v>
      </c>
      <c r="F9" s="33">
        <f>$C$29*('E Balans VL '!L10+'E Balans VL '!N10)/100/3.6*1000000</f>
        <v>149.512169597021</v>
      </c>
      <c r="G9" s="34"/>
      <c r="H9" s="33"/>
      <c r="I9" s="33"/>
      <c r="J9" s="33">
        <f>$C$29*('E Balans VL '!D10+'E Balans VL '!E10)/100/3.6*1000000</f>
        <v>0</v>
      </c>
      <c r="K9" s="33"/>
      <c r="L9" s="33"/>
      <c r="M9" s="33"/>
      <c r="N9" s="33">
        <f>$C$29*'E Balans VL '!Y10/100/3.6*1000000</f>
        <v>8.9943982558701947</v>
      </c>
      <c r="O9" s="33"/>
      <c r="P9" s="33"/>
      <c r="R9" s="32"/>
    </row>
    <row r="10" spans="1:18">
      <c r="A10" s="32" t="s">
        <v>49</v>
      </c>
      <c r="B10" s="37">
        <f t="shared" si="0"/>
        <v>418.899518</v>
      </c>
      <c r="C10" s="33"/>
      <c r="D10" s="37">
        <f>IF(ISERROR(TER_ander_gas_kWh/1000),0,TER_ander_gas_kWh/1000)*0.903</f>
        <v>526.039000074</v>
      </c>
      <c r="E10" s="33">
        <f>$C$30*'E Balans VL '!I14/100/3.6*1000000</f>
        <v>5.9995657276211354</v>
      </c>
      <c r="F10" s="33">
        <f>$C$30*('E Balans VL '!L14+'E Balans VL '!N14)/100/3.6*1000000</f>
        <v>249.38512634901991</v>
      </c>
      <c r="G10" s="34"/>
      <c r="H10" s="33"/>
      <c r="I10" s="33"/>
      <c r="J10" s="33">
        <f>$C$30*('E Balans VL '!D14+'E Balans VL '!E14)/100/3.6*1000000</f>
        <v>4.1369762827227936E-3</v>
      </c>
      <c r="K10" s="33"/>
      <c r="L10" s="33"/>
      <c r="M10" s="33"/>
      <c r="N10" s="33">
        <f>$C$30*'E Balans VL '!Y14/100/3.6*1000000</f>
        <v>149.50814732493382</v>
      </c>
      <c r="O10" s="33"/>
      <c r="P10" s="33"/>
      <c r="R10" s="32"/>
    </row>
    <row r="11" spans="1:18">
      <c r="A11" s="32" t="s">
        <v>54</v>
      </c>
      <c r="B11" s="37">
        <f t="shared" si="0"/>
        <v>91.962192999999999</v>
      </c>
      <c r="C11" s="33"/>
      <c r="D11" s="37">
        <f>IF(ISERROR(TER_onderwijs_gas_kWh/1000),0,TER_onderwijs_gas_kWh/1000)*0.903</f>
        <v>141.222607197</v>
      </c>
      <c r="E11" s="33">
        <f>$C$31*'E Balans VL '!I11/100/3.6*1000000</f>
        <v>0</v>
      </c>
      <c r="F11" s="33">
        <f>$C$31*('E Balans VL '!L11+'E Balans VL '!N11)/100/3.6*1000000</f>
        <v>10.751475485455165</v>
      </c>
      <c r="G11" s="34"/>
      <c r="H11" s="33"/>
      <c r="I11" s="33"/>
      <c r="J11" s="33">
        <f>$C$31*('E Balans VL '!D11+'E Balans VL '!E11)/100/3.6*1000000</f>
        <v>0</v>
      </c>
      <c r="K11" s="33"/>
      <c r="L11" s="33"/>
      <c r="M11" s="33"/>
      <c r="N11" s="33">
        <f>$C$31*'E Balans VL '!Y11/100/3.6*1000000</f>
        <v>0.25895497535743317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814.5</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-2327.1428571428573</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16261.403995000001</v>
      </c>
      <c r="C16" s="21">
        <f t="shared" ca="1" si="1"/>
        <v>0</v>
      </c>
      <c r="D16" s="21">
        <f t="shared" ca="1" si="1"/>
        <v>8657.7533860860003</v>
      </c>
      <c r="E16" s="21">
        <f t="shared" si="1"/>
        <v>23.134301787742253</v>
      </c>
      <c r="F16" s="21">
        <f t="shared" ca="1" si="1"/>
        <v>1635.848531822932</v>
      </c>
      <c r="G16" s="21">
        <f t="shared" si="1"/>
        <v>0</v>
      </c>
      <c r="H16" s="21">
        <f t="shared" si="1"/>
        <v>0</v>
      </c>
      <c r="I16" s="21">
        <f t="shared" si="1"/>
        <v>0</v>
      </c>
      <c r="J16" s="21">
        <f t="shared" si="1"/>
        <v>4.1369762827227936E-3</v>
      </c>
      <c r="K16" s="21">
        <f t="shared" si="1"/>
        <v>0</v>
      </c>
      <c r="L16" s="21">
        <f t="shared" ca="1" si="1"/>
        <v>0</v>
      </c>
      <c r="M16" s="21">
        <f t="shared" si="1"/>
        <v>0</v>
      </c>
      <c r="N16" s="21">
        <f t="shared" ca="1" si="1"/>
        <v>0</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0.1863593590448244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3030.464825677147</v>
      </c>
      <c r="C20" s="23">
        <f t="shared" ref="C20:P20" ca="1" si="2">C16*C18</f>
        <v>0</v>
      </c>
      <c r="D20" s="23">
        <f t="shared" ca="1" si="2"/>
        <v>1748.8661839893721</v>
      </c>
      <c r="E20" s="23">
        <f t="shared" si="2"/>
        <v>5.2514865058174918</v>
      </c>
      <c r="F20" s="23">
        <f t="shared" ca="1" si="2"/>
        <v>436.77155799672289</v>
      </c>
      <c r="G20" s="23">
        <f t="shared" si="2"/>
        <v>0</v>
      </c>
      <c r="H20" s="23">
        <f t="shared" si="2"/>
        <v>0</v>
      </c>
      <c r="I20" s="23">
        <f t="shared" si="2"/>
        <v>0</v>
      </c>
      <c r="J20" s="23">
        <f t="shared" si="2"/>
        <v>1.4644896040838689E-3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4528.3653370000002</v>
      </c>
      <c r="C26" s="39">
        <f>IF(ISERROR(B26*3.6/1000000/'E Balans VL '!Z12*100),0,B26*3.6/1000000/'E Balans VL '!Z12*100)</f>
        <v>0.12771189422195525</v>
      </c>
      <c r="D26" s="233" t="s">
        <v>691</v>
      </c>
      <c r="F26" s="6"/>
    </row>
    <row r="27" spans="1:18">
      <c r="A27" s="228" t="s">
        <v>52</v>
      </c>
      <c r="B27" s="33">
        <f>IF(ISERROR(TER_horeca_ele_kWh/1000),0,TER_horeca_ele_kWh/1000)</f>
        <v>4621.1705060000004</v>
      </c>
      <c r="C27" s="39">
        <f>IF(ISERROR(B27*3.6/1000000/'E Balans VL '!Z9*100),0,B27*3.6/1000000/'E Balans VL '!Z9*100)</f>
        <v>0.34260302343180765</v>
      </c>
      <c r="D27" s="233" t="s">
        <v>691</v>
      </c>
      <c r="F27" s="6"/>
    </row>
    <row r="28" spans="1:18">
      <c r="A28" s="168" t="s">
        <v>51</v>
      </c>
      <c r="B28" s="33">
        <f>IF(ISERROR(TER_handel_ele_kWh/1000),0,TER_handel_ele_kWh/1000)</f>
        <v>4566.8117689999999</v>
      </c>
      <c r="C28" s="39">
        <f>IF(ISERROR(B28*3.6/1000000/'E Balans VL '!Z13*100),0,B28*3.6/1000000/'E Balans VL '!Z13*100)</f>
        <v>0.13681082259886707</v>
      </c>
      <c r="D28" s="233" t="s">
        <v>691</v>
      </c>
      <c r="F28" s="6"/>
    </row>
    <row r="29" spans="1:18">
      <c r="A29" s="228" t="s">
        <v>50</v>
      </c>
      <c r="B29" s="33">
        <f>IF(ISERROR(TER_gezond_ele_kWh/1000),0,TER_gezond_ele_kWh/1000)</f>
        <v>1219.6946720000001</v>
      </c>
      <c r="C29" s="39">
        <f>IF(ISERROR(B29*3.6/1000000/'E Balans VL '!Z10*100),0,B29*3.6/1000000/'E Balans VL '!Z10*100)</f>
        <v>0.1206038872243838</v>
      </c>
      <c r="D29" s="233" t="s">
        <v>691</v>
      </c>
      <c r="F29" s="6"/>
    </row>
    <row r="30" spans="1:18">
      <c r="A30" s="228" t="s">
        <v>49</v>
      </c>
      <c r="B30" s="33">
        <f>IF(ISERROR(TER_ander_ele_kWh/1000),0,TER_ander_ele_kWh/1000)</f>
        <v>418.899518</v>
      </c>
      <c r="C30" s="39">
        <f>IF(ISERROR(B30*3.6/1000000/'E Balans VL '!Z14*100),0,B30*3.6/1000000/'E Balans VL '!Z14*100)</f>
        <v>1.6943247574291304E-2</v>
      </c>
      <c r="D30" s="233" t="s">
        <v>691</v>
      </c>
      <c r="F30" s="6"/>
    </row>
    <row r="31" spans="1:18">
      <c r="A31" s="228" t="s">
        <v>54</v>
      </c>
      <c r="B31" s="33">
        <f>IF(ISERROR(TER_onderwijs_ele_kWh/1000),0,TER_onderwijs_ele_kWh/1000)</f>
        <v>91.962192999999999</v>
      </c>
      <c r="C31" s="39">
        <f>IF(ISERROR(B31*3.6/1000000/'E Balans VL '!Z11*100),0,B31*3.6/1000000/'E Balans VL '!Z11*100)</f>
        <v>2.5266036350140155E-2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2839.3139540000002</v>
      </c>
      <c r="C5" s="17">
        <f>IF(ISERROR('Eigen informatie GS &amp; warmtenet'!B61),0,'Eigen informatie GS &amp; warmtenet'!B61)</f>
        <v>0</v>
      </c>
      <c r="D5" s="30">
        <f>SUM(D6:D15)</f>
        <v>665.59128211799998</v>
      </c>
      <c r="E5" s="17">
        <f>SUM(E6:E15)</f>
        <v>9.2323281337773899</v>
      </c>
      <c r="F5" s="17">
        <f>SUM(F6:F15)</f>
        <v>840.31156081866504</v>
      </c>
      <c r="G5" s="18"/>
      <c r="H5" s="17"/>
      <c r="I5" s="17"/>
      <c r="J5" s="17">
        <f>SUM(J6:J15)</f>
        <v>7.2114988718512282E-2</v>
      </c>
      <c r="K5" s="17"/>
      <c r="L5" s="17"/>
      <c r="M5" s="17"/>
      <c r="N5" s="17">
        <f>SUM(N6:N15)</f>
        <v>221.34409223495732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56.440010000000001</v>
      </c>
      <c r="C8" s="33"/>
      <c r="D8" s="37">
        <f>IF( ISERROR(IND_metaal_Gas_kWH/1000),0,IND_metaal_Gas_kWH/1000)*0.903</f>
        <v>0</v>
      </c>
      <c r="E8" s="33">
        <f>C30*'E Balans VL '!I18/100/3.6*1000000</f>
        <v>0.28458037803489344</v>
      </c>
      <c r="F8" s="33">
        <f>C30*'E Balans VL '!L18/100/3.6*1000000+C30*'E Balans VL '!N18/100/3.6*1000000</f>
        <v>3.8560968155964113</v>
      </c>
      <c r="G8" s="34"/>
      <c r="H8" s="33"/>
      <c r="I8" s="33"/>
      <c r="J8" s="40">
        <f>C30*'E Balans VL '!D18/100/3.6*1000000+C30*'E Balans VL '!E18/100/3.6*1000000</f>
        <v>5.0038883259874344E-2</v>
      </c>
      <c r="K8" s="33"/>
      <c r="L8" s="33"/>
      <c r="M8" s="33"/>
      <c r="N8" s="33">
        <f>C30*'E Balans VL '!Y18/100/3.6*1000000</f>
        <v>0.75008806784477977</v>
      </c>
      <c r="O8" s="33"/>
      <c r="P8" s="33"/>
      <c r="R8" s="32"/>
    </row>
    <row r="9" spans="1:18">
      <c r="A9" s="6" t="s">
        <v>32</v>
      </c>
      <c r="B9" s="37">
        <f t="shared" si="0"/>
        <v>1296.7481029999999</v>
      </c>
      <c r="C9" s="33"/>
      <c r="D9" s="37">
        <f>IF( ISERROR(IND_andere_gas_kWh/1000),0,IND_andere_gas_kWh/1000)*0.903</f>
        <v>426.392046171</v>
      </c>
      <c r="E9" s="33">
        <f>C31*'E Balans VL '!I19/100/3.6*1000000</f>
        <v>4.0876564983890917</v>
      </c>
      <c r="F9" s="33">
        <f>C31*'E Balans VL '!L19/100/3.6*1000000+C31*'E Balans VL '!N19/100/3.6*1000000</f>
        <v>793.81464910237014</v>
      </c>
      <c r="G9" s="34"/>
      <c r="H9" s="33"/>
      <c r="I9" s="33"/>
      <c r="J9" s="40">
        <f>C31*'E Balans VL '!D19/100/3.6*1000000+C31*'E Balans VL '!E19/100/3.6*1000000</f>
        <v>0</v>
      </c>
      <c r="K9" s="33"/>
      <c r="L9" s="33"/>
      <c r="M9" s="33"/>
      <c r="N9" s="33">
        <f>C31*'E Balans VL '!Y19/100/3.6*1000000</f>
        <v>54.374408710418983</v>
      </c>
      <c r="O9" s="33"/>
      <c r="P9" s="33"/>
      <c r="R9" s="32"/>
    </row>
    <row r="10" spans="1:18">
      <c r="A10" s="6" t="s">
        <v>40</v>
      </c>
      <c r="B10" s="37">
        <f t="shared" si="0"/>
        <v>510.49786899999998</v>
      </c>
      <c r="C10" s="33"/>
      <c r="D10" s="37">
        <f>IF( ISERROR(IND_voed_gas_kWh/1000),0,IND_voed_gas_kWh/1000)*0.903</f>
        <v>70.208920929000001</v>
      </c>
      <c r="E10" s="33">
        <f>C32*'E Balans VL '!I20/100/3.6*1000000</f>
        <v>0.81359023332795521</v>
      </c>
      <c r="F10" s="33">
        <f>C32*'E Balans VL '!L20/100/3.6*1000000+C32*'E Balans VL '!N20/100/3.6*1000000</f>
        <v>8.2943502313512329</v>
      </c>
      <c r="G10" s="34"/>
      <c r="H10" s="33"/>
      <c r="I10" s="33"/>
      <c r="J10" s="40">
        <f>C32*'E Balans VL '!D20/100/3.6*1000000+C32*'E Balans VL '!E20/100/3.6*1000000</f>
        <v>0</v>
      </c>
      <c r="K10" s="33"/>
      <c r="L10" s="33"/>
      <c r="M10" s="33"/>
      <c r="N10" s="33">
        <f>C32*'E Balans VL '!Y20/100/3.6*1000000</f>
        <v>16.124072319242853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878.971</v>
      </c>
      <c r="C12" s="33"/>
      <c r="D12" s="37">
        <f>IF( ISERROR(IND_min_gas_kWh/1000),0,IND_min_gas_kWh/1000)*0.903</f>
        <v>0</v>
      </c>
      <c r="E12" s="33">
        <f>C34*'E Balans VL '!I22/100/3.6*1000000</f>
        <v>3.8035455285005098</v>
      </c>
      <c r="F12" s="33">
        <f>C34*'E Balans VL '!L22/100/3.6*1000000+C34*'E Balans VL '!N22/100/3.6*1000000</f>
        <v>33.560197807597589</v>
      </c>
      <c r="G12" s="34"/>
      <c r="H12" s="33"/>
      <c r="I12" s="33"/>
      <c r="J12" s="40">
        <f>C34*'E Balans VL '!D22/100/3.6*1000000+C34*'E Balans VL '!E22/100/3.6*1000000</f>
        <v>0</v>
      </c>
      <c r="K12" s="33"/>
      <c r="L12" s="33"/>
      <c r="M12" s="33"/>
      <c r="N12" s="33">
        <f>C34*'E Balans VL '!Y22/100/3.6*1000000</f>
        <v>149.93265252480373</v>
      </c>
      <c r="O12" s="33"/>
      <c r="P12" s="33"/>
      <c r="R12" s="32"/>
    </row>
    <row r="13" spans="1:18">
      <c r="A13" s="6" t="s">
        <v>38</v>
      </c>
      <c r="B13" s="37">
        <f t="shared" si="0"/>
        <v>87.018093999999991</v>
      </c>
      <c r="C13" s="33"/>
      <c r="D13" s="37">
        <f>IF( ISERROR(IND_papier_gas_kWh/1000),0,IND_papier_gas_kWh/1000)*0.903</f>
        <v>0</v>
      </c>
      <c r="E13" s="33">
        <f>C35*'E Balans VL '!I23/100/3.6*1000000</f>
        <v>0</v>
      </c>
      <c r="F13" s="33">
        <f>C35*'E Balans VL '!L23/100/3.6*1000000+C35*'E Balans VL '!N23/100/3.6*1000000</f>
        <v>3.7700284557627703E-3</v>
      </c>
      <c r="G13" s="34"/>
      <c r="H13" s="33"/>
      <c r="I13" s="33"/>
      <c r="J13" s="40">
        <f>C35*'E Balans VL '!D23/100/3.6*1000000+C35*'E Balans VL '!E23/100/3.6*1000000</f>
        <v>2.3977635017930323E-3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9.6388780000000001</v>
      </c>
      <c r="C15" s="33"/>
      <c r="D15" s="37">
        <f>IF( ISERROR(IND_rest_gas_kWh/1000),0,IND_rest_gas_kWh/1000)*0.903</f>
        <v>168.99031501799999</v>
      </c>
      <c r="E15" s="33">
        <f>C37*'E Balans VL '!I15/100/3.6*1000000</f>
        <v>0.24295549552493859</v>
      </c>
      <c r="F15" s="33">
        <f>C37*'E Balans VL '!L15/100/3.6*1000000+C37*'E Balans VL '!N15/100/3.6*1000000</f>
        <v>0.78249683329397413</v>
      </c>
      <c r="G15" s="34"/>
      <c r="H15" s="33"/>
      <c r="I15" s="33"/>
      <c r="J15" s="40">
        <f>C37*'E Balans VL '!D15/100/3.6*1000000+C37*'E Balans VL '!E15/100/3.6*1000000</f>
        <v>1.96783419568449E-2</v>
      </c>
      <c r="K15" s="33"/>
      <c r="L15" s="33"/>
      <c r="M15" s="33"/>
      <c r="N15" s="33">
        <f>C37*'E Balans VL '!Y15/100/3.6*1000000</f>
        <v>0.16287061264698302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2839.3139540000002</v>
      </c>
      <c r="C18" s="21">
        <f>C5+C16</f>
        <v>0</v>
      </c>
      <c r="D18" s="21">
        <f>MAX((D5+D16),0)</f>
        <v>665.59128211799998</v>
      </c>
      <c r="E18" s="21">
        <f>MAX((E5+E16),0)</f>
        <v>9.2323281337773899</v>
      </c>
      <c r="F18" s="21">
        <f>MAX((F5+F16),0)</f>
        <v>840.31156081866504</v>
      </c>
      <c r="G18" s="21"/>
      <c r="H18" s="21"/>
      <c r="I18" s="21"/>
      <c r="J18" s="21">
        <f>MAX((J5+J16),0)</f>
        <v>7.2114988718512282E-2</v>
      </c>
      <c r="K18" s="21"/>
      <c r="L18" s="21">
        <f>MAX((L5+L16),0)</f>
        <v>0</v>
      </c>
      <c r="M18" s="21"/>
      <c r="N18" s="21">
        <f>MAX((N5+N16),0)</f>
        <v>221.34409223495732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0.1863593590448244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529.13272859446602</v>
      </c>
      <c r="C22" s="23">
        <f ca="1">C18*C20</f>
        <v>0</v>
      </c>
      <c r="D22" s="23">
        <f>D18*D20</f>
        <v>134.449438987836</v>
      </c>
      <c r="E22" s="23">
        <f>E18*E20</f>
        <v>2.0957384863674675</v>
      </c>
      <c r="F22" s="23">
        <f>F18*F20</f>
        <v>224.36318673858358</v>
      </c>
      <c r="G22" s="23"/>
      <c r="H22" s="23"/>
      <c r="I22" s="23"/>
      <c r="J22" s="23">
        <f>J18*J20</f>
        <v>2.5528706006353347E-2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56.440010000000001</v>
      </c>
      <c r="C30" s="39">
        <f>IF(ISERROR(B30*3.6/1000000/'E Balans VL '!Z18*100),0,B30*3.6/1000000/'E Balans VL '!Z18*100)</f>
        <v>2.8015548947985551E-3</v>
      </c>
      <c r="D30" s="233" t="s">
        <v>691</v>
      </c>
    </row>
    <row r="31" spans="1:18">
      <c r="A31" s="6" t="s">
        <v>32</v>
      </c>
      <c r="B31" s="37">
        <f>IF( ISERROR(IND_ander_ele_kWh/1000),0,IND_ander_ele_kWh/1000)</f>
        <v>1296.7481029999999</v>
      </c>
      <c r="C31" s="39">
        <f>IF(ISERROR(B31*3.6/1000000/'E Balans VL '!Z19*100),0,B31*3.6/1000000/'E Balans VL '!Z19*100)</f>
        <v>4.3758603527813904E-2</v>
      </c>
      <c r="D31" s="233" t="s">
        <v>691</v>
      </c>
    </row>
    <row r="32" spans="1:18">
      <c r="A32" s="168" t="s">
        <v>40</v>
      </c>
      <c r="B32" s="37">
        <f>IF( ISERROR(IND_voed_ele_kWh/1000),0,IND_voed_ele_kWh/1000)</f>
        <v>510.49786899999998</v>
      </c>
      <c r="C32" s="39">
        <f>IF(ISERROR(B32*3.6/1000000/'E Balans VL '!Z20*100),0,B32*3.6/1000000/'E Balans VL '!Z20*100)</f>
        <v>1.198869178241492E-2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878.971</v>
      </c>
      <c r="C34" s="39">
        <f>IF(ISERROR(B34*3.6/1000000/'E Balans VL '!Z22*100),0,B34*3.6/1000000/'E Balans VL '!Z22*100)</f>
        <v>0.12470028251254461</v>
      </c>
      <c r="D34" s="233" t="s">
        <v>691</v>
      </c>
    </row>
    <row r="35" spans="1:5">
      <c r="A35" s="168" t="s">
        <v>38</v>
      </c>
      <c r="B35" s="37">
        <f>IF( ISERROR(IND_papier_ele_kWh/1000),0,IND_papier_ele_kWh/1000)</f>
        <v>87.018093999999991</v>
      </c>
      <c r="C35" s="39">
        <f>IF(ISERROR(B35*3.6/1000000/'E Balans VL '!Z22*100),0,B35*3.6/1000000/'E Balans VL '!Z22*100)</f>
        <v>1.2345323003265365E-2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9.6388780000000001</v>
      </c>
      <c r="C37" s="39">
        <f>IF(ISERROR(B37*3.6/1000000/'E Balans VL '!Z15*100),0,B37*3.6/1000000/'E Balans VL '!Z15*100)</f>
        <v>3.6121976786159066E-5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651.55566500000009</v>
      </c>
      <c r="C5" s="17">
        <f>'Eigen informatie GS &amp; warmtenet'!B62</f>
        <v>0</v>
      </c>
      <c r="D5" s="30">
        <f>IF(ISERROR(SUM(LB_lb_gas_kWh,LB_rest_gas_kWh)/1000),0,SUM(LB_lb_gas_kWh,LB_rest_gas_kWh)/1000)*0.903</f>
        <v>54.783832488000009</v>
      </c>
      <c r="E5" s="17">
        <f>B17*'E Balans VL '!I25/3.6*1000000/100</f>
        <v>24.298503714459411</v>
      </c>
      <c r="F5" s="17">
        <f>B17*('E Balans VL '!L25/3.6*1000000+'E Balans VL '!N25/3.6*1000000)/100</f>
        <v>2113.8983482794347</v>
      </c>
      <c r="G5" s="18"/>
      <c r="H5" s="17"/>
      <c r="I5" s="17"/>
      <c r="J5" s="17">
        <f>('E Balans VL '!D25+'E Balans VL '!E25)/3.6*1000000*landbouw!B17/100</f>
        <v>171.03657873231049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651.55566500000009</v>
      </c>
      <c r="C8" s="21">
        <f>C5+C6</f>
        <v>0</v>
      </c>
      <c r="D8" s="21">
        <f>MAX((D5+D6),0)</f>
        <v>54.783832488000009</v>
      </c>
      <c r="E8" s="21">
        <f>MAX((E5+E6),0)</f>
        <v>24.298503714459411</v>
      </c>
      <c r="F8" s="21">
        <f>MAX((F5+F6),0)</f>
        <v>2113.8983482794347</v>
      </c>
      <c r="G8" s="21"/>
      <c r="H8" s="21"/>
      <c r="I8" s="21"/>
      <c r="J8" s="21">
        <f>MAX((J5+J6),0)</f>
        <v>171.03657873231049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0.1863593590448244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121.42349611142434</v>
      </c>
      <c r="C12" s="23">
        <f ca="1">C8*C10</f>
        <v>0</v>
      </c>
      <c r="D12" s="23">
        <f>D8*D10</f>
        <v>11.066334162576002</v>
      </c>
      <c r="E12" s="23">
        <f>E8*E10</f>
        <v>5.5157603431822864</v>
      </c>
      <c r="F12" s="23">
        <f>F8*F10</f>
        <v>564.41085899060909</v>
      </c>
      <c r="G12" s="23"/>
      <c r="H12" s="23"/>
      <c r="I12" s="23"/>
      <c r="J12" s="23">
        <f>J8*J10</f>
        <v>60.546948871237909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8.9489470341283489E-2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138.05024275844718</v>
      </c>
      <c r="C26" s="243">
        <f>B26*'GWP N2O_CH4'!B5</f>
        <v>2899.0550979273908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31.714456204797035</v>
      </c>
      <c r="C27" s="243">
        <f>B27*'GWP N2O_CH4'!B5</f>
        <v>666.00358030073778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2.2280247059565488</v>
      </c>
      <c r="C28" s="243">
        <f>B28*'GWP N2O_CH4'!B4</f>
        <v>690.6876588465301</v>
      </c>
      <c r="D28" s="50"/>
    </row>
    <row r="29" spans="1:4">
      <c r="A29" s="41" t="s">
        <v>272</v>
      </c>
      <c r="B29" s="243">
        <f>B34*'ha_N2O bodem landbouw'!B4</f>
        <v>15.138620734735756</v>
      </c>
      <c r="C29" s="243">
        <f>B29*'GWP N2O_CH4'!B4</f>
        <v>4692.9724277680843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3.4501348984991619E-3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3.9348932512926895E-4</v>
      </c>
      <c r="C5" s="434" t="s">
        <v>210</v>
      </c>
      <c r="D5" s="419">
        <f>SUM(D6:D11)</f>
        <v>7.5679176227081812E-4</v>
      </c>
      <c r="E5" s="419">
        <f>SUM(E6:E11)</f>
        <v>4.1277998998902267E-4</v>
      </c>
      <c r="F5" s="432" t="s">
        <v>210</v>
      </c>
      <c r="G5" s="419">
        <f>SUM(G6:G11)</f>
        <v>0.18994169818975046</v>
      </c>
      <c r="H5" s="419">
        <f>SUM(H6:H11)</f>
        <v>4.585344200149645E-2</v>
      </c>
      <c r="I5" s="434" t="s">
        <v>210</v>
      </c>
      <c r="J5" s="434" t="s">
        <v>210</v>
      </c>
      <c r="K5" s="434" t="s">
        <v>210</v>
      </c>
      <c r="L5" s="434" t="s">
        <v>210</v>
      </c>
      <c r="M5" s="419">
        <f>SUM(M6:M11)</f>
        <v>1.3881548548793352E-2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2.3821853652477714E-4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4.1394891615569485E-4</v>
      </c>
      <c r="E6" s="885">
        <f>vkm_GW_PW*SUMIFS(TableVerdeelsleutelVkm[LPG],TableVerdeelsleutelVkm[Voertuigtype],"Lichte voertuigen")*SUMIFS(TableECFTransport[EnergieConsumptieFactor (PJ per km)],TableECFTransport[Index],CONCATENATE($A6,"_LPG_LPG"))</f>
        <v>2.3018260054622419E-4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6.9172060027195822E-2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2.5220364330186405E-2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5.6477320619223916E-3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1.2970505756333913E-6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5.3681677850176038E-2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5.4611265847124712E-7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3.0223612241769113E-3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1.5366248451868152E-4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3.4284284611512327E-4</v>
      </c>
      <c r="E8" s="422">
        <f>vkm_NGW_PW*SUMIFS(TableVerdeelsleutelVkm[LPG],TableVerdeelsleutelVkm[Voertuigtype],"Lichte voertuigen")*SUMIFS(TableECFTransport[EnergieConsumptieFactor (PJ per km)],TableECFTransport[Index],CONCATENATE($A8,"_LPG_LPG"))</f>
        <v>1.8259738944279849E-4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5.0498940229034825E-2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2.0632373377025153E-2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4.2774685922514931E-3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3.1125351017687823E-7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1.6589020083343765E-2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1.5818162642077727E-7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9.339866704425572E-4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109.30259031368581</v>
      </c>
      <c r="C14" s="21"/>
      <c r="D14" s="21">
        <f t="shared" ref="D14:M14" si="0">((D5)*10^9/3600)+D12</f>
        <v>210.21993396411614</v>
      </c>
      <c r="E14" s="21">
        <f t="shared" si="0"/>
        <v>114.66110833028408</v>
      </c>
      <c r="F14" s="21"/>
      <c r="G14" s="21">
        <f t="shared" si="0"/>
        <v>52761.582830486237</v>
      </c>
      <c r="H14" s="21">
        <f t="shared" si="0"/>
        <v>12737.067222637903</v>
      </c>
      <c r="I14" s="21"/>
      <c r="J14" s="21"/>
      <c r="K14" s="21"/>
      <c r="L14" s="21"/>
      <c r="M14" s="21">
        <f t="shared" si="0"/>
        <v>3855.985707998153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0.1863593590448244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20.369560672797519</v>
      </c>
      <c r="C18" s="23"/>
      <c r="D18" s="23">
        <f t="shared" ref="D18:M18" si="1">D14*D16</f>
        <v>42.464426660751464</v>
      </c>
      <c r="E18" s="23">
        <f t="shared" si="1"/>
        <v>26.028071590974488</v>
      </c>
      <c r="F18" s="23"/>
      <c r="G18" s="23">
        <f t="shared" si="1"/>
        <v>14087.342615739826</v>
      </c>
      <c r="H18" s="23">
        <f t="shared" si="1"/>
        <v>3171.5297384368378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1.6893430632180744E-4</v>
      </c>
      <c r="C50" s="315">
        <f t="shared" ref="C50:P50" si="2">SUM(C51:C52)</f>
        <v>0</v>
      </c>
      <c r="D50" s="315">
        <f t="shared" si="2"/>
        <v>0</v>
      </c>
      <c r="E50" s="315">
        <f t="shared" si="2"/>
        <v>0</v>
      </c>
      <c r="F50" s="315">
        <f t="shared" si="2"/>
        <v>0</v>
      </c>
      <c r="G50" s="315">
        <f t="shared" si="2"/>
        <v>1.2058226236930225E-2</v>
      </c>
      <c r="H50" s="315">
        <f t="shared" si="2"/>
        <v>0</v>
      </c>
      <c r="I50" s="315">
        <f t="shared" si="2"/>
        <v>0</v>
      </c>
      <c r="J50" s="315">
        <f t="shared" si="2"/>
        <v>0</v>
      </c>
      <c r="K50" s="315">
        <f t="shared" si="2"/>
        <v>0</v>
      </c>
      <c r="L50" s="315">
        <f t="shared" si="2"/>
        <v>0</v>
      </c>
      <c r="M50" s="315">
        <f t="shared" si="2"/>
        <v>6.6583829709864438E-4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1.6893430632180744E-4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1.2058226236930225E-2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6.6583829709864438E-4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46.926196200502069</v>
      </c>
      <c r="C54" s="21">
        <f t="shared" ref="C54:P54" si="3">(C50)*10^9/3600</f>
        <v>0</v>
      </c>
      <c r="D54" s="21">
        <f t="shared" si="3"/>
        <v>0</v>
      </c>
      <c r="E54" s="21">
        <f t="shared" si="3"/>
        <v>0</v>
      </c>
      <c r="F54" s="21">
        <f t="shared" si="3"/>
        <v>0</v>
      </c>
      <c r="G54" s="21">
        <f t="shared" si="3"/>
        <v>3349.5072880361736</v>
      </c>
      <c r="H54" s="21">
        <f t="shared" si="3"/>
        <v>0</v>
      </c>
      <c r="I54" s="21">
        <f t="shared" si="3"/>
        <v>0</v>
      </c>
      <c r="J54" s="21">
        <f t="shared" si="3"/>
        <v>0</v>
      </c>
      <c r="K54" s="21">
        <f t="shared" si="3"/>
        <v>0</v>
      </c>
      <c r="L54" s="21">
        <f t="shared" si="3"/>
        <v>0</v>
      </c>
      <c r="M54" s="21">
        <f t="shared" si="3"/>
        <v>184.95508252740123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0.1863593590448244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8.7451358463372397</v>
      </c>
      <c r="C58" s="23">
        <f t="shared" ref="C58:P58" ca="1" si="4">C54*C56</f>
        <v>0</v>
      </c>
      <c r="D58" s="23">
        <f t="shared" si="4"/>
        <v>0</v>
      </c>
      <c r="E58" s="23">
        <f t="shared" si="4"/>
        <v>0</v>
      </c>
      <c r="F58" s="23">
        <f t="shared" si="4"/>
        <v>0</v>
      </c>
      <c r="G58" s="23">
        <f t="shared" si="4"/>
        <v>894.31844590565845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6782.8148111931059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814.5</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7597.3148111931059</v>
      </c>
      <c r="C10" s="559">
        <f t="shared" ref="C10:L10" si="0">SUM(C8:C9)</f>
        <v>0</v>
      </c>
      <c r="D10" s="559">
        <f t="shared" si="0"/>
        <v>0</v>
      </c>
      <c r="E10" s="559">
        <f t="shared" si="0"/>
        <v>0</v>
      </c>
      <c r="F10" s="559">
        <f t="shared" si="0"/>
        <v>0</v>
      </c>
      <c r="G10" s="559">
        <f t="shared" si="0"/>
        <v>0</v>
      </c>
      <c r="H10" s="559">
        <f t="shared" si="0"/>
        <v>0</v>
      </c>
      <c r="I10" s="559">
        <f t="shared" si="0"/>
        <v>0</v>
      </c>
      <c r="J10" s="559">
        <f t="shared" si="0"/>
        <v>2327.1428571428573</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63.75">
      <c r="A35" s="590"/>
      <c r="B35" s="786">
        <v>24066</v>
      </c>
      <c r="C35" s="786">
        <v>3210</v>
      </c>
      <c r="D35" s="638" t="s">
        <v>883</v>
      </c>
      <c r="E35" s="638" t="s">
        <v>884</v>
      </c>
      <c r="F35" s="638" t="s">
        <v>885</v>
      </c>
      <c r="G35" s="638" t="s">
        <v>886</v>
      </c>
      <c r="H35" s="638" t="s">
        <v>887</v>
      </c>
      <c r="I35" s="638" t="s">
        <v>888</v>
      </c>
      <c r="J35" s="785">
        <v>34344</v>
      </c>
      <c r="K35" s="785">
        <v>37803</v>
      </c>
      <c r="L35" s="638" t="s">
        <v>889</v>
      </c>
      <c r="M35" s="638">
        <v>181</v>
      </c>
      <c r="N35" s="638">
        <v>814.5</v>
      </c>
      <c r="O35" s="638">
        <v>0</v>
      </c>
      <c r="P35" s="638">
        <v>0</v>
      </c>
      <c r="Q35" s="638">
        <v>0</v>
      </c>
      <c r="R35" s="638">
        <v>2327.1428571428573</v>
      </c>
      <c r="S35" s="638">
        <v>0</v>
      </c>
      <c r="T35" s="638">
        <v>0</v>
      </c>
      <c r="U35" s="638">
        <v>0</v>
      </c>
      <c r="V35" s="638">
        <v>0</v>
      </c>
      <c r="W35" s="638">
        <v>0</v>
      </c>
      <c r="X35" s="638">
        <v>1600</v>
      </c>
      <c r="Y35" s="638" t="s">
        <v>49</v>
      </c>
      <c r="Z35" s="639" t="s">
        <v>155</v>
      </c>
    </row>
    <row r="36" spans="1:27" s="569" customFormat="1">
      <c r="A36" s="591" t="s">
        <v>275</v>
      </c>
      <c r="B36" s="592"/>
      <c r="C36" s="592"/>
      <c r="D36" s="592"/>
      <c r="E36" s="592"/>
      <c r="F36" s="592"/>
      <c r="G36" s="592"/>
      <c r="H36" s="592"/>
      <c r="I36" s="592"/>
      <c r="J36" s="592"/>
      <c r="K36" s="592"/>
      <c r="L36" s="593"/>
      <c r="M36" s="593">
        <f>SUM(M35:M35)</f>
        <v>181</v>
      </c>
      <c r="N36" s="593">
        <f>SUM(N35:N35)</f>
        <v>814.5</v>
      </c>
      <c r="O36" s="593">
        <f>SUM(O35:O35)</f>
        <v>0</v>
      </c>
      <c r="P36" s="593">
        <f>SUM(P35:P35)</f>
        <v>0</v>
      </c>
      <c r="Q36" s="593">
        <f>SUM(Q35:Q35)</f>
        <v>0</v>
      </c>
      <c r="R36" s="593">
        <f>SUM(R35:R35)</f>
        <v>2327.1428571428573</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181</v>
      </c>
      <c r="N38" s="593">
        <f>SUMIF($Z$35:$Z$36,"tertiair",N35:N36)</f>
        <v>814.5</v>
      </c>
      <c r="O38" s="593">
        <f>SUMIF($Z$35:$Z$36,"tertiair",O35:O36)</f>
        <v>0</v>
      </c>
      <c r="P38" s="593">
        <f>SUMIF($Z$35:$Z$36,"tertiair",P35:P36)</f>
        <v>0</v>
      </c>
      <c r="Q38" s="593">
        <f>SUMIF($Z$35:$Z$36,"tertiair",Q35:Q36)</f>
        <v>0</v>
      </c>
      <c r="R38" s="593">
        <f>SUMIF($Z$35:$Z$36,"tertiair",R35:R36)</f>
        <v>2327.1428571428573</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2021-06-29T14:29:26Z</dcterms:modified>
</cp:coreProperties>
</file>