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6" i="17"/>
  <c r="D8" i="17" s="1"/>
  <c r="D12" i="17" s="1"/>
  <c r="E54" i="14" s="1"/>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<sst xmlns="http://schemas.openxmlformats.org/spreadsheetml/2006/main" count="2448" uniqueCount="883">
  <si>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</si>
  <si>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</si>
  <si>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</si>
  <si>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</si>
  <si>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</si>
  <si>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</si>
  <si>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</si>
  <si>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</si>
  <si>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</si>
  <si>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</si>
  <si>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</si>
  <si>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</si>
  <si>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</si>
  <si>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</si>
  <si>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</si>
  <si>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</si>
  <si>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</si>
  <si>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</si>
  <si>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</si>
  <si>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</si>
  <si>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</si>
  <si>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</si>
  <si>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</si>
  <si>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</si>
  <si>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</si>
  <si>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</si>
  <si>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</si>
  <si>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</si>
  <si>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</si>
  <si>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</si>
  <si>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</si>
  <si>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</si>
  <si>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</si>
  <si>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</si>
  <si>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</si>
  <si>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</si>
  <si>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</si>
  <si>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</si>
  <si>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</si>
  <si>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</si>
  <si>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</si>
  <si>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</si>
  <si>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</si>
  <si>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</si>
  <si>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</si>
  <si>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</si>
  <si>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</si>
  <si>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</si>
  <si>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</si>
  <si>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</si>
  <si>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</si>
  <si>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</si>
  <si>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</si>
  <si>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</si>
  <si>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</si>
  <si>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</si>
  <si>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</si>
  <si>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</si>
  <si>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</si>
  <si>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</si>
  <si>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</si>
  <si>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</si>
  <si>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</si>
  <si>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</si>
  <si>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</si>
  <si>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</si>
  <si>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</si>
  <si>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</si>
  <si>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</si>
  <si>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</si>
  <si>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</si>
  <si>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</si>
  <si>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</si>
  <si>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</si>
  <si>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</si>
  <si>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</si>
  <si>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</si>
  <si>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</si>
  <si>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</si>
  <si>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</si>
  <si>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</si>
  <si>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</si>
  <si>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</si>
  <si>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</si>
  <si>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</si>
  <si>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</si>
  <si>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</si>
  <si>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</si>
  <si>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</si>
  <si>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</si>
  <si>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</si>
  <si>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</si>
  <si>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</si>
  <si>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</si>
  <si>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</si>
  <si>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</si>
  <si>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</si>
  <si>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</si>
  <si>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</si>
  <si>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</si>
  <si>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</si>
  <si>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</si>
  <si>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</si>
  <si>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</si>
  <si>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</si>
  <si>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</si>
  <si>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</si>
  <si>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</si>
  <si>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</si>
  <si>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</si>
  <si>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</si>
  <si>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</si>
  <si>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</si>
  <si>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</si>
  <si>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</si>
  <si>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</si>
  <si>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</si>
  <si>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</si>
  <si>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</si>
  <si>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</si>
  <si>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</si>
  <si>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</si>
  <si>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</si>
  <si>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</si>
  <si>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</si>
  <si>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</si>
  <si>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</si>
  <si>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</si>
  <si>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</si>
  <si>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</si>
  <si>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</si>
  <si>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</si>
  <si>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</si>
  <si>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</si>
  <si>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</si>
  <si>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</si>
  <si>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</si>
  <si>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</si>
  <si>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</si>
  <si>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</si>
  <si>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</si>
  <si>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</si>
  <si>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</si>
  <si>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</si>
  <si>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</si>
  <si>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</si>
  <si>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</si>
  <si>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</si>
  <si>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</si>
  <si>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</si>
  <si>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</si>
  <si>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</si>
  <si>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</si>
  <si>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</si>
  <si>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</si>
  <si>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</si>
  <si>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</si>
  <si>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</si>
  <si>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</si>
  <si>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</si>
  <si>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</si>
  <si>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</si>
  <si>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</si>
  <si>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</si>
  <si>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</si>
  <si>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</si>
  <si>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</si>
  <si>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</si>
  <si>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</si>
  <si>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</si>
  <si>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</si>
  <si>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</si>
  <si>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</si>
  <si>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</si>
  <si>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</si>
  <si>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</si>
  <si>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</si>
  <si>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</si>
  <si>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</si>
  <si>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</si>
  <si>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</si>
  <si>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</si>
  <si>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</si>
  <si>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</si>
  <si>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</si>
  <si>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</si>
  <si>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</si>
  <si>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</si>
  <si>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</si>
  <si>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</si>
  <si>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</si>
  <si>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</si>
  <si>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</si>
  <si>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</si>
  <si>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</si>
  <si>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</si>
  <si>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</si>
  <si>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</si>
  <si>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</si>
  <si>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</si>
  <si>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</si>
  <si>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</si>
  <si>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</si>
  <si>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</si>
  <si>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</si>
  <si>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</si>
  <si>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</si>
  <si>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</si>
  <si>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</si>
  <si>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</si>
  <si>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</si>
  <si>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</si>
  <si>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</si>
  <si>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</si>
  <si>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</si>
  <si>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</si>
  <si>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</si>
  <si>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</si>
  <si>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</si>
  <si>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</si>
  <si>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</si>
  <si>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</si>
  <si>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</si>
  <si>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</si>
  <si>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</si>
  <si>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</si>
  <si>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</si>
  <si>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</si>
  <si>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</si>
  <si>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</si>
  <si>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</si>
  <si>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</si>
  <si>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</si>
  <si>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</si>
  <si>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</si>
  <si>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</si>
  <si>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</si>
  <si>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</si>
  <si>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</si>
  <si>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</si>
  <si>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</si>
  <si>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</si>
  <si>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</si>
  <si>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</si>
  <si>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</si>
  <si>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</si>
  <si>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</si>
  <si>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</si>
  <si>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</si>
  <si>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</si>
  <si>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</si>
  <si>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</si>
  <si>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</si>
  <si>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</si>
  <si>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</si>
  <si>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</si>
  <si>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</si>
  <si>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</si>
  <si>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</si>
  <si>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</si>
  <si>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</si>
  <si>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</si>
  <si>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</si>
  <si>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</si>
  <si>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</si>
  <si>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</si>
  <si>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</si>
  <si>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</si>
  <si>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</si>
  <si>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</si>
  <si>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</si>
  <si>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</si>
  <si>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</si>
  <si>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</si>
  <si>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</si>
  <si>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</si>
  <si>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</si>
  <si>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</si>
  <si>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</si>
  <si>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</si>
  <si>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</si>
  <si>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</si>
  <si>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</si>
  <si>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</si>
  <si>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</si>
  <si>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</si>
  <si>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</si>
  <si>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</si>
  <si>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</si>
  <si>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</si>
  <si>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</si>
  <si>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</si>
  <si>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</si>
  <si>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</si>
  <si>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</si>
  <si>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</si>
  <si>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</si>
  <si>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</si>
  <si>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</si>
  <si>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</si>
  <si>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</si>
  <si>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</si>
  <si>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</si>
  <si>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</si>
  <si>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</si>
  <si>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</si>
  <si>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</si>
  <si>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</si>
  <si>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</si>
  <si>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</si>
  <si>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</si>
  <si>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</si>
  <si>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</si>
  <si>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</si>
  <si>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</si>
  <si>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</si>
  <si>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</si>
  <si>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</si>
  <si>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</si>
  <si>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</si>
  <si>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</si>
  <si>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</si>
  <si>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</si>
  <si>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</si>
  <si>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</si>
  <si>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</si>
  <si>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</si>
  <si>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</si>
  <si>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</si>
  <si>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</si>
  <si>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</si>
  <si>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</si>
  <si>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</si>
  <si>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</si>
  <si>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</si>
  <si>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</si>
  <si>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</si>
  <si>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</si>
  <si>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</si>
  <si>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</si>
  <si>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</si>
  <si>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</si>
  <si>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</si>
  <si>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</si>
  <si>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</si>
  <si>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</si>
  <si>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</si>
  <si>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</si>
  <si>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</si>
  <si>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</si>
  <si>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</si>
  <si>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</si>
  <si>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</si>
  <si>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</si>
  <si>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</si>
  <si>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</si>
  <si>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</si>
  <si>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</si>
  <si>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</si>
  <si>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</si>
  <si>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</si>
  <si>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</si>
  <si>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</si>
  <si>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</si>
  <si>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</si>
  <si>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</si>
  <si>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</si>
  <si>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</si>
  <si>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</si>
  <si>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</si>
  <si>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</si>
  <si>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</si>
  <si>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</si>
  <si>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</si>
  <si>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</si>
  <si>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</si>
  <si>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</si>
  <si>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</si>
  <si>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</si>
  <si>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</si>
  <si>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</si>
  <si>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</si>
  <si>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</si>
  <si>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</si>
  <si>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</si>
  <si>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</si>
  <si>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</si>
  <si>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</si>
  <si>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</si>
  <si>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</si>
  <si>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</si>
  <si>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</si>
  <si>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</si>
  <si>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</si>
  <si>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</si>
  <si>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</si>
  <si>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</si>
  <si>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</si>
  <si>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</si>
  <si>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</si>
  <si>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</si>
  <si>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</si>
  <si>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</si>
  <si>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</si>
  <si>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</si>
  <si>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</si>
  <si>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</si>
  <si>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</si>
  <si>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</si>
  <si>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</si>
  <si>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</si>
  <si>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</si>
  <si>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</si>
  <si>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</si>
  <si>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</si>
  <si>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</si>
  <si>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</si>
  <si>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</si>
  <si>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</si>
  <si>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</si>
  <si>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</si>
  <si>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</si>
  <si>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</si>
  <si>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</si>
  <si>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</si>
  <si>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</si>
  <si>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</si>
  <si>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</si>
  <si>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</si>
  <si>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</si>
  <si>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</si>
  <si>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</si>
  <si>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</si>
  <si>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</si>
  <si>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</si>
  <si>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</si>
  <si>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</si>
  <si>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</si>
  <si>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</si>
  <si>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</si>
  <si>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</si>
  <si>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</si>
  <si>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</si>
  <si>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</si>
  <si>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</si>
  <si>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</si>
  <si>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</si>
  <si>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</si>
  <si>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</si>
  <si>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</si>
  <si>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</si>
  <si>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</si>
  <si>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</si>
  <si>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</si>
  <si>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</si>
  <si>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</si>
  <si>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</si>
  <si>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</si>
  <si>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</si>
  <si>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</si>
  <si>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</si>
  <si>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</si>
  <si>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</si>
  <si>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</si>
  <si>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</si>
  <si>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</si>
  <si>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</si>
  <si>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</si>
  <si>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</si>
  <si>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</si>
  <si>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</si>
  <si>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</si>
  <si>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</si>
  <si>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</si>
  <si>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</si>
  <si>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</si>
  <si>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</si>
  <si>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</si>
  <si>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</si>
  <si>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</si>
  <si>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</si>
  <si>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</si>
  <si>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</si>
  <si>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</si>
  <si>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</si>
  <si>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</si>
  <si>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</si>
  <si>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</si>
  <si>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</si>
  <si>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</si>
  <si>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</si>
  <si>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</si>
  <si>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</si>
  <si>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</si>
  <si>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</si>
  <si>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</si>
  <si>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</si>
  <si>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</si>
  <si>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</si>
  <si>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</si>
  <si>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</si>
  <si>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</si>
  <si>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</si>
  <si>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</si>
  <si>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</si>
  <si>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</si>
  <si>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</si>
  <si>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</si>
  <si>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</si>
  <si>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</si>
  <si>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</si>
  <si>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</si>
  <si>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</si>
  <si>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</si>
  <si>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</si>
  <si>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</si>
  <si>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</si>
  <si>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</si>
  <si>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</si>
  <si>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</si>
  <si>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</si>
  <si>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</si>
  <si>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</si>
  <si>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</si>
  <si>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</si>
  <si>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</si>
  <si>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</si>
  <si>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</si>
  <si>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</si>
  <si>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</si>
  <si>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</si>
  <si>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</si>
  <si>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</si>
  <si>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</si>
  <si>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</si>
  <si>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</si>
  <si>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</si>
  <si>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</si>
  <si>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</si>
  <si>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</si>
  <si>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</si>
  <si>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</si>
  <si>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</si>
  <si>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</si>
  <si>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</si>
  <si>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</si>
  <si>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</si>
  <si>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</si>
  <si>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</si>
  <si>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</si>
  <si>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</si>
  <si>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</si>
  <si>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</si>
  <si>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</si>
  <si>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</si>
  <si>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</si>
  <si>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</si>
  <si>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</si>
  <si>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</si>
  <si>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</si>
  <si>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</si>
  <si>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</si>
  <si>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</si>
  <si>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</si>
  <si>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</si>
  <si>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</si>
  <si>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</si>
  <si>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</si>
  <si>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</si>
  <si>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</si>
  <si>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</si>
  <si>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</si>
  <si>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</si>
  <si>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</si>
  <si>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</si>
  <si>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</si>
  <si>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</si>
  <si>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</si>
  <si>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</si>
  <si>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</si>
  <si>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</si>
  <si>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</si>
  <si>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</si>
  <si>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</si>
  <si>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</si>
  <si>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</si>
  <si>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</si>
  <si>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</si>
  <si>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</si>
  <si>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</si>
  <si>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</si>
  <si>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</si>
  <si>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</si>
  <si>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</si>
  <si>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</si>
  <si>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</si>
  <si>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</si>
  <si>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</si>
  <si>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</si>
  <si>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</si>
  <si>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</si>
  <si>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</si>
  <si>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</si>
  <si>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</si>
  <si>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</si>
  <si>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</si>
  <si>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</si>
  <si>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</si>
  <si>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</si>
  <si>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</si>
  <si>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</si>
  <si>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</si>
  <si>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</si>
  <si>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</si>
  <si>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</si>
  <si>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</si>
  <si>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</si>
  <si>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</si>
  <si>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</si>
  <si>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</si>
  <si>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</si>
  <si>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</si>
  <si>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</si>
  <si>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</si>
  <si>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</si>
  <si>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</si>
  <si>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</si>
  <si>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</si>
  <si>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</si>
  <si>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</si>
  <si>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</si>
  <si>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</si>
  <si>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</si>
  <si>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</si>
  <si>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</si>
  <si>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</si>
  <si>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</si>
  <si>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</si>
  <si>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</si>
  <si>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</si>
  <si>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</si>
  <si>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</si>
  <si>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</si>
  <si>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</si>
  <si>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</si>
  <si>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</si>
  <si>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</si>
  <si>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</si>
  <si>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</si>
  <si>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</si>
  <si>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</si>
  <si>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</si>
  <si>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</si>
  <si>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</si>
  <si>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</si>
  <si>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</si>
  <si>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</si>
  <si>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</si>
  <si>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</si>
  <si>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</si>
  <si>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</si>
  <si>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</si>
  <si>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</si>
  <si>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</si>
  <si>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</si>
  <si>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</si>
  <si>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</si>
  <si>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</si>
  <si>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</si>
  <si>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</si>
  <si>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</si>
  <si>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</si>
  <si>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</si>
  <si>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</si>
  <si>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</si>
  <si>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</si>
  <si>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</si>
  <si>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</si>
  <si>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</si>
  <si>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</si>
  <si>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</si>
  <si>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</si>
  <si>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</si>
  <si>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</si>
  <si>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</si>
  <si>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</si>
  <si>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</si>
  <si>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</si>
  <si>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</si>
  <si>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</si>
  <si>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</si>
  <si>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</si>
  <si>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</si>
  <si>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</si>
  <si>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</si>
  <si>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</si>
  <si>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</si>
  <si>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</si>
  <si>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</si>
  <si>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</si>
  <si>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</si>
  <si>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</si>
  <si>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</si>
  <si>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</si>
  <si>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</si>
  <si>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</si>
  <si>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</si>
  <si>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</si>
  <si>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</si>
  <si>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</si>
  <si>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</si>
  <si>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</si>
  <si>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</si>
  <si>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</si>
  <si>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</si>
  <si>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</si>
  <si>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</si>
  <si>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</si>
  <si>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</si>
  <si>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</si>
  <si>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</si>
  <si>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</si>
  <si>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</si>
  <si>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</si>
  <si>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</si>
  <si>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</si>
  <si>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</si>
  <si>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</si>
  <si>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</si>
  <si>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</si>
  <si>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</si>
  <si>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</si>
  <si>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</si>
  <si>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</si>
  <si>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</si>
  <si>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</si>
  <si>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</si>
  <si>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</si>
  <si>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</si>
  <si>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</si>
  <si>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</si>
  <si>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</si>
  <si>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</si>
  <si>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</si>
  <si>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</si>
  <si>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</si>
  <si>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</si>
  <si>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</si>
  <si>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</si>
  <si>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</si>
  <si>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</si>
  <si>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</si>
  <si>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</si>
  <si>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</si>
  <si>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</si>
  <si>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</si>
  <si>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</si>
  <si>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</si>
  <si>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</si>
  <si>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</si>
  <si>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</si>
  <si>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</si>
  <si>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</si>
  <si>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</si>
  <si>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</si>
  <si>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</si>
  <si>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</si>
  <si>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</si>
  <si>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</si>
  <si>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</si>
  <si>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</si>
  <si>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</si>
  <si>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</si>
  <si>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</si>
  <si>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</si>
  <si>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</si>
  <si>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</si>
  <si>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</si>
  <si>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</si>
  <si>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</si>
  <si>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</si>
  <si>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</si>
  <si>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</si>
  <si>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</si>
  <si>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</si>
  <si>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</si>
  <si>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</si>
  <si>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</si>
  <si>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</si>
  <si>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</si>
  <si>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</si>
  <si>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</si>
  <si>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</si>
  <si>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</si>
  <si>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</si>
  <si>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</si>
  <si>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</si>
  <si>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</si>
  <si>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</si>
  <si>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</si>
  <si>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</si>
  <si>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</si>
  <si>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</si>
  <si>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</si>
  <si>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</si>
  <si>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</si>
  <si>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</si>
  <si>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</si>
  <si>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</si>
  <si>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</si>
  <si>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</si>
  <si>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</si>
  <si>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</si>
  <si>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</si>
  <si>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</si>
  <si>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</si>
  <si>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</si>
  <si>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</si>
  <si>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</si>
  <si>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</si>
  <si>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</si>
  <si>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</si>
  <si>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</si>
  <si>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</si>
  <si>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</si>
  <si>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</si>
  <si>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</si>
  <si>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</si>
  <si>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</si>
  <si>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</si>
  <si>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</si>
  <si>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</si>
  <si>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</si>
  <si>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</si>
  <si>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</si>
  <si>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</si>
  <si>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</si>
  <si>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</si>
  <si>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</si>
  <si>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</si>
  <si>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</si>
  <si>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</si>
  <si>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</si>
  <si>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</si>
  <si>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</si>
  <si>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</si>
  <si>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</si>
  <si>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</si>
  <si>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</si>
  <si>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</si>
  <si>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</si>
  <si>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</si>
  <si>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</si>
  <si>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</si>
  <si>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</si>
  <si>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</si>
  <si>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</si>
  <si>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</si>
  <si>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</si>
  <si>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</si>
  <si>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</si>
  <si>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</si>
  <si>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</si>
  <si>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</si>
  <si>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</si>
  <si>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</si>
  <si>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</si>
  <si>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</si>
  <si>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</si>
  <si>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</si>
  <si>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</si>
  <si>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</si>
  <si>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</si>
  <si>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</si>
  <si>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</si>
  <si>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</si>
  <si>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</si>
  <si>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</si>
  <si>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</si>
  <si>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24009</t>
  </si>
  <si>
    <t>BERTEM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</si>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</sst>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84188.085619973892</c:v>
                </c:pt>
                <c:pt idx="1">
                  <c:v>19639.690393518373</c:v>
                </c:pt>
                <c:pt idx="2">
                  <c:v>530.471</c:v>
                </c:pt>
                <c:pt idx="3">
                  <c:v>1474.1706408811283</c:v>
                </c:pt>
                <c:pt idx="4">
                  <c:v>1883.0808320133447</c:v>
                </c:pt>
                <c:pt idx="5">
                  <c:v>215131.2567359723</c:v>
                </c:pt>
                <c:pt idx="6">
                  <c:v>3204.620246173743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84188.085619973892</c:v>
                </c:pt>
                <c:pt idx="1">
                  <c:v>19639.690393518373</c:v>
                </c:pt>
                <c:pt idx="2">
                  <c:v>530.471</c:v>
                </c:pt>
                <c:pt idx="3">
                  <c:v>1474.1706408811283</c:v>
                </c:pt>
                <c:pt idx="4">
                  <c:v>1883.0808320133447</c:v>
                </c:pt>
                <c:pt idx="5">
                  <c:v>215131.2567359723</c:v>
                </c:pt>
                <c:pt idx="6">
                  <c:v>3204.620246173743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17285.73596114758</c:v>
                </c:pt>
                <c:pt idx="1">
                  <c:v>3856.6606865755484</c:v>
                </c:pt>
                <c:pt idx="2">
                  <c:v>105.09737279698822</c:v>
                </c:pt>
                <c:pt idx="3">
                  <c:v>363.91962725158834</c:v>
                </c:pt>
                <c:pt idx="4">
                  <c:v>390.73635323375163</c:v>
                </c:pt>
                <c:pt idx="5">
                  <c:v>53428.181279471275</c:v>
                </c:pt>
                <c:pt idx="6">
                  <c:v>808.55357811420549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17285.73596114758</c:v>
                </c:pt>
                <c:pt idx="1">
                  <c:v>3856.6606865755484</c:v>
                </c:pt>
                <c:pt idx="2">
                  <c:v>105.09737279698822</c:v>
                </c:pt>
                <c:pt idx="3">
                  <c:v>363.91962725158834</c:v>
                </c:pt>
                <c:pt idx="4">
                  <c:v>390.73635323375163</c:v>
                </c:pt>
                <c:pt idx="5">
                  <c:v>53428.181279471275</c:v>
                </c:pt>
                <c:pt idx="6">
                  <c:v>808.55357811420549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24009</v>
      </c>
      <c r="B6" s="386"/>
      <c r="C6" s="387"/>
    </row>
    <row r="7" spans="1:7" s="384" customFormat="1" ht="15.75" customHeight="1">
      <c r="A7" s="388" t="str">
        <f>txtMunicipality</f>
        <v>BERTEM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9205.2947066610122</v>
      </c>
      <c r="D10" s="682">
        <f ca="1">tertiair!C16</f>
        <v>0</v>
      </c>
      <c r="E10" s="682">
        <f ca="1">tertiair!D16</f>
        <v>7432.5631102997086</v>
      </c>
      <c r="F10" s="682">
        <f>tertiair!E16</f>
        <v>48.937787325537037</v>
      </c>
      <c r="G10" s="682">
        <f ca="1">tertiair!F16</f>
        <v>2342.696491649222</v>
      </c>
      <c r="H10" s="682">
        <f>tertiair!G16</f>
        <v>0</v>
      </c>
      <c r="I10" s="682">
        <f>tertiair!H16</f>
        <v>0</v>
      </c>
      <c r="J10" s="682">
        <f>tertiair!I16</f>
        <v>0</v>
      </c>
      <c r="K10" s="682">
        <f>tertiair!J16</f>
        <v>2.9746630890752541E-2</v>
      </c>
      <c r="L10" s="682">
        <f>tertiair!K16</f>
        <v>0</v>
      </c>
      <c r="M10" s="682">
        <f ca="1">tertiair!L16</f>
        <v>0</v>
      </c>
      <c r="N10" s="682">
        <f>tertiair!M16</f>
        <v>0</v>
      </c>
      <c r="O10" s="682">
        <f ca="1">tertiair!N16</f>
        <v>1083.2031518796632</v>
      </c>
      <c r="P10" s="682">
        <f>tertiair!O16</f>
        <v>4.8972607658411542</v>
      </c>
      <c r="Q10" s="683">
        <f>tertiair!P16</f>
        <v>52.539138306495019</v>
      </c>
      <c r="R10" s="685">
        <f ca="1">SUM(C10:Q10)</f>
        <v>20170.16139351837</v>
      </c>
      <c r="S10" s="67"/>
    </row>
    <row r="11" spans="1:19" s="445" customFormat="1">
      <c r="A11" s="803" t="s">
        <v>220</v>
      </c>
      <c r="B11" s="808"/>
      <c r="C11" s="682">
        <f>huishoudens!B8</f>
        <v>16560.658755050237</v>
      </c>
      <c r="D11" s="682">
        <f>huishoudens!C8</f>
        <v>0</v>
      </c>
      <c r="E11" s="682">
        <f>huishoudens!D8</f>
        <v>37728.719494442579</v>
      </c>
      <c r="F11" s="682">
        <f>huishoudens!E8</f>
        <v>1008.163536914731</v>
      </c>
      <c r="G11" s="682">
        <f>huishoudens!F8</f>
        <v>22899.306208379654</v>
      </c>
      <c r="H11" s="682">
        <f>huishoudens!G8</f>
        <v>0</v>
      </c>
      <c r="I11" s="682">
        <f>huishoudens!H8</f>
        <v>0</v>
      </c>
      <c r="J11" s="682">
        <f>huishoudens!I8</f>
        <v>0</v>
      </c>
      <c r="K11" s="682">
        <f>huishoudens!J8</f>
        <v>114.56136540397675</v>
      </c>
      <c r="L11" s="682">
        <f>huishoudens!K8</f>
        <v>0</v>
      </c>
      <c r="M11" s="682">
        <f>huishoudens!L8</f>
        <v>0</v>
      </c>
      <c r="N11" s="682">
        <f>huishoudens!M8</f>
        <v>0</v>
      </c>
      <c r="O11" s="682">
        <f>huishoudens!N8</f>
        <v>5362.1202050263055</v>
      </c>
      <c r="P11" s="682">
        <f>huishoudens!O8</f>
        <v>230.13915344889568</v>
      </c>
      <c r="Q11" s="683">
        <f>huishoudens!P8</f>
        <v>284.41690130749561</v>
      </c>
      <c r="R11" s="685">
        <f>SUM(C11:Q11)</f>
        <v>84188.085619973892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786.23199406136268</v>
      </c>
      <c r="D13" s="682">
        <f>industrie!C18</f>
        <v>0</v>
      </c>
      <c r="E13" s="682">
        <f>industrie!D18</f>
        <v>778.40900533154183</v>
      </c>
      <c r="F13" s="682">
        <f>industrie!E18</f>
        <v>2.5368396160583684</v>
      </c>
      <c r="G13" s="682">
        <f>industrie!F18</f>
        <v>288.80575594722399</v>
      </c>
      <c r="H13" s="682">
        <f>industrie!G18</f>
        <v>0</v>
      </c>
      <c r="I13" s="682">
        <f>industrie!H18</f>
        <v>0</v>
      </c>
      <c r="J13" s="682">
        <f>industrie!I18</f>
        <v>0</v>
      </c>
      <c r="K13" s="682">
        <f>industrie!J18</f>
        <v>0.11800235081225306</v>
      </c>
      <c r="L13" s="682">
        <f>industrie!K18</f>
        <v>0</v>
      </c>
      <c r="M13" s="682">
        <f>industrie!L18</f>
        <v>0</v>
      </c>
      <c r="N13" s="682">
        <f>industrie!M18</f>
        <v>0</v>
      </c>
      <c r="O13" s="682">
        <f>industrie!N18</f>
        <v>26.979234706345306</v>
      </c>
      <c r="P13" s="682">
        <f>industrie!O18</f>
        <v>0</v>
      </c>
      <c r="Q13" s="683">
        <f>industrie!P18</f>
        <v>0</v>
      </c>
      <c r="R13" s="685">
        <f>SUM(C13:Q13)</f>
        <v>1883.0808320133447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26552.185455772615</v>
      </c>
      <c r="D16" s="718">
        <f t="shared" ref="D16:R16" ca="1" si="0">SUM(D9:D15)</f>
        <v>0</v>
      </c>
      <c r="E16" s="718">
        <f t="shared" ca="1" si="0"/>
        <v>45939.691610073831</v>
      </c>
      <c r="F16" s="718">
        <f t="shared" si="0"/>
        <v>1059.6381638563264</v>
      </c>
      <c r="G16" s="718">
        <f t="shared" ca="1" si="0"/>
        <v>25530.808455976101</v>
      </c>
      <c r="H16" s="718">
        <f t="shared" si="0"/>
        <v>0</v>
      </c>
      <c r="I16" s="718">
        <f t="shared" si="0"/>
        <v>0</v>
      </c>
      <c r="J16" s="718">
        <f t="shared" si="0"/>
        <v>0</v>
      </c>
      <c r="K16" s="718">
        <f t="shared" si="0"/>
        <v>114.70911438567975</v>
      </c>
      <c r="L16" s="718">
        <f t="shared" si="0"/>
        <v>0</v>
      </c>
      <c r="M16" s="718">
        <f t="shared" ca="1" si="0"/>
        <v>0</v>
      </c>
      <c r="N16" s="718">
        <f t="shared" si="0"/>
        <v>0</v>
      </c>
      <c r="O16" s="718">
        <f t="shared" ca="1" si="0"/>
        <v>6472.3025916123133</v>
      </c>
      <c r="P16" s="718">
        <f t="shared" si="0"/>
        <v>235.03641421473685</v>
      </c>
      <c r="Q16" s="718">
        <f t="shared" si="0"/>
        <v>336.95603961399064</v>
      </c>
      <c r="R16" s="718">
        <f t="shared" ca="1" si="0"/>
        <v>106241.32784550561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41.989478554661545</v>
      </c>
      <c r="D19" s="682">
        <f>transport!C54</f>
        <v>0</v>
      </c>
      <c r="E19" s="682">
        <f>transport!D54</f>
        <v>0</v>
      </c>
      <c r="F19" s="682">
        <f>transport!E54</f>
        <v>0</v>
      </c>
      <c r="G19" s="682">
        <f>transport!F54</f>
        <v>0</v>
      </c>
      <c r="H19" s="682">
        <f>transport!G54</f>
        <v>2997.1332822022496</v>
      </c>
      <c r="I19" s="682">
        <f>transport!H54</f>
        <v>0</v>
      </c>
      <c r="J19" s="682">
        <f>transport!I54</f>
        <v>0</v>
      </c>
      <c r="K19" s="682">
        <f>transport!J54</f>
        <v>0</v>
      </c>
      <c r="L19" s="682">
        <f>transport!K54</f>
        <v>0</v>
      </c>
      <c r="M19" s="682">
        <f>transport!L54</f>
        <v>0</v>
      </c>
      <c r="N19" s="682">
        <f>transport!M54</f>
        <v>165.49748541683164</v>
      </c>
      <c r="O19" s="682">
        <f>transport!N54</f>
        <v>0</v>
      </c>
      <c r="P19" s="682">
        <f>transport!O54</f>
        <v>0</v>
      </c>
      <c r="Q19" s="683">
        <f>transport!P54</f>
        <v>0</v>
      </c>
      <c r="R19" s="685">
        <f>SUM(C19:Q19)</f>
        <v>3204.620246173743</v>
      </c>
      <c r="S19" s="67"/>
    </row>
    <row r="20" spans="1:19" s="445" customFormat="1">
      <c r="A20" s="803" t="s">
        <v>302</v>
      </c>
      <c r="B20" s="808"/>
      <c r="C20" s="682">
        <f>transport!B14</f>
        <v>420.80510275683571</v>
      </c>
      <c r="D20" s="682">
        <f>transport!C14</f>
        <v>0</v>
      </c>
      <c r="E20" s="682">
        <f>transport!D14</f>
        <v>660.33903301534656</v>
      </c>
      <c r="F20" s="682">
        <f>transport!E14</f>
        <v>415.69326752826925</v>
      </c>
      <c r="G20" s="682">
        <f>transport!F14</f>
        <v>0</v>
      </c>
      <c r="H20" s="682">
        <f>transport!G14</f>
        <v>160350.68119862844</v>
      </c>
      <c r="I20" s="682">
        <f>transport!H14</f>
        <v>41379.230010222054</v>
      </c>
      <c r="J20" s="682">
        <f>transport!I14</f>
        <v>0</v>
      </c>
      <c r="K20" s="682">
        <f>transport!J14</f>
        <v>0</v>
      </c>
      <c r="L20" s="682">
        <f>transport!K14</f>
        <v>0</v>
      </c>
      <c r="M20" s="682">
        <f>transport!L14</f>
        <v>0</v>
      </c>
      <c r="N20" s="682">
        <f>transport!M14</f>
        <v>11904.508123821355</v>
      </c>
      <c r="O20" s="682">
        <f>transport!N14</f>
        <v>0</v>
      </c>
      <c r="P20" s="682">
        <f>transport!O14</f>
        <v>0</v>
      </c>
      <c r="Q20" s="683">
        <f>transport!P14</f>
        <v>0</v>
      </c>
      <c r="R20" s="685">
        <f>SUM(C20:Q20)</f>
        <v>215131.2567359723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462.79458131149727</v>
      </c>
      <c r="D22" s="806">
        <f t="shared" ref="D22:R22" si="1">SUM(D18:D21)</f>
        <v>0</v>
      </c>
      <c r="E22" s="806">
        <f t="shared" si="1"/>
        <v>660.33903301534656</v>
      </c>
      <c r="F22" s="806">
        <f t="shared" si="1"/>
        <v>415.69326752826925</v>
      </c>
      <c r="G22" s="806">
        <f t="shared" si="1"/>
        <v>0</v>
      </c>
      <c r="H22" s="806">
        <f t="shared" si="1"/>
        <v>163347.81448083068</v>
      </c>
      <c r="I22" s="806">
        <f t="shared" si="1"/>
        <v>41379.230010222054</v>
      </c>
      <c r="J22" s="806">
        <f t="shared" si="1"/>
        <v>0</v>
      </c>
      <c r="K22" s="806">
        <f t="shared" si="1"/>
        <v>0</v>
      </c>
      <c r="L22" s="806">
        <f t="shared" si="1"/>
        <v>0</v>
      </c>
      <c r="M22" s="806">
        <f t="shared" si="1"/>
        <v>0</v>
      </c>
      <c r="N22" s="806">
        <f t="shared" si="1"/>
        <v>12070.005609238187</v>
      </c>
      <c r="O22" s="806">
        <f t="shared" si="1"/>
        <v>0</v>
      </c>
      <c r="P22" s="806">
        <f t="shared" si="1"/>
        <v>0</v>
      </c>
      <c r="Q22" s="806">
        <f t="shared" si="1"/>
        <v>0</v>
      </c>
      <c r="R22" s="806">
        <f t="shared" si="1"/>
        <v>218335.87698214606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266.85526642828899</v>
      </c>
      <c r="D24" s="682">
        <f>+landbouw!C8</f>
        <v>0</v>
      </c>
      <c r="E24" s="682">
        <f>+landbouw!D8</f>
        <v>261.53109921128623</v>
      </c>
      <c r="F24" s="682">
        <f>+landbouw!E8</f>
        <v>9.9518491371429256</v>
      </c>
      <c r="G24" s="682">
        <f>+landbouw!F8</f>
        <v>865.78160122731572</v>
      </c>
      <c r="H24" s="682">
        <f>+landbouw!G8</f>
        <v>0</v>
      </c>
      <c r="I24" s="682">
        <f>+landbouw!H8</f>
        <v>0</v>
      </c>
      <c r="J24" s="682">
        <f>+landbouw!I8</f>
        <v>0</v>
      </c>
      <c r="K24" s="682">
        <f>+landbouw!J8</f>
        <v>70.050824877094328</v>
      </c>
      <c r="L24" s="682">
        <f>+landbouw!K8</f>
        <v>0</v>
      </c>
      <c r="M24" s="682">
        <f>+landbouw!L8</f>
        <v>0</v>
      </c>
      <c r="N24" s="682">
        <f>+landbouw!M8</f>
        <v>0</v>
      </c>
      <c r="O24" s="682">
        <f>+landbouw!N8</f>
        <v>0</v>
      </c>
      <c r="P24" s="682">
        <f>+landbouw!O8</f>
        <v>0</v>
      </c>
      <c r="Q24" s="683">
        <f>+landbouw!P8</f>
        <v>0</v>
      </c>
      <c r="R24" s="685">
        <f>SUM(C24:Q24)</f>
        <v>1474.1706408811283</v>
      </c>
      <c r="S24" s="67"/>
    </row>
    <row r="25" spans="1:19" s="445" customFormat="1" ht="15" thickBot="1">
      <c r="A25" s="825" t="s">
        <v>703</v>
      </c>
      <c r="B25" s="938"/>
      <c r="C25" s="939">
        <f>IF(Onbekend_ele_kWh="---",0,Onbekend_ele_kWh)/1000+IF(REST_rest_ele_kWh="---",0,REST_rest_ele_kWh)/1000</f>
        <v>391.38424653424005</v>
      </c>
      <c r="D25" s="939"/>
      <c r="E25" s="939">
        <f>IF(onbekend_gas_kWh="---",0,onbekend_gas_kWh)/1000+IF(REST_rest_gas_kWh="---",0,REST_rest_gas_kWh)/1000</f>
        <v>900.95148104457803</v>
      </c>
      <c r="F25" s="939"/>
      <c r="G25" s="939"/>
      <c r="H25" s="939"/>
      <c r="I25" s="939"/>
      <c r="J25" s="939"/>
      <c r="K25" s="939"/>
      <c r="L25" s="939"/>
      <c r="M25" s="939"/>
      <c r="N25" s="939"/>
      <c r="O25" s="939"/>
      <c r="P25" s="939"/>
      <c r="Q25" s="940"/>
      <c r="R25" s="685">
        <f>SUM(C25:Q25)</f>
        <v>1292.335727578818</v>
      </c>
      <c r="S25" s="67"/>
    </row>
    <row r="26" spans="1:19" s="445" customFormat="1" ht="15.75" thickBot="1">
      <c r="A26" s="690" t="s">
        <v>704</v>
      </c>
      <c r="B26" s="811"/>
      <c r="C26" s="806">
        <f>SUM(C24:C25)</f>
        <v>658.23951296252903</v>
      </c>
      <c r="D26" s="806">
        <f t="shared" ref="D26:R26" si="2">SUM(D24:D25)</f>
        <v>0</v>
      </c>
      <c r="E26" s="806">
        <f t="shared" si="2"/>
        <v>1162.4825802558644</v>
      </c>
      <c r="F26" s="806">
        <f t="shared" si="2"/>
        <v>9.9518491371429256</v>
      </c>
      <c r="G26" s="806">
        <f t="shared" si="2"/>
        <v>865.78160122731572</v>
      </c>
      <c r="H26" s="806">
        <f t="shared" si="2"/>
        <v>0</v>
      </c>
      <c r="I26" s="806">
        <f t="shared" si="2"/>
        <v>0</v>
      </c>
      <c r="J26" s="806">
        <f t="shared" si="2"/>
        <v>0</v>
      </c>
      <c r="K26" s="806">
        <f t="shared" si="2"/>
        <v>70.050824877094328</v>
      </c>
      <c r="L26" s="806">
        <f t="shared" si="2"/>
        <v>0</v>
      </c>
      <c r="M26" s="806">
        <f t="shared" si="2"/>
        <v>0</v>
      </c>
      <c r="N26" s="806">
        <f t="shared" si="2"/>
        <v>0</v>
      </c>
      <c r="O26" s="806">
        <f t="shared" si="2"/>
        <v>0</v>
      </c>
      <c r="P26" s="806">
        <f t="shared" si="2"/>
        <v>0</v>
      </c>
      <c r="Q26" s="806">
        <f t="shared" si="2"/>
        <v>0</v>
      </c>
      <c r="R26" s="806">
        <f t="shared" si="2"/>
        <v>2766.5063684599463</v>
      </c>
      <c r="S26" s="67"/>
    </row>
    <row r="27" spans="1:19" s="445" customFormat="1" ht="17.25" thickTop="1" thickBot="1">
      <c r="A27" s="691" t="s">
        <v>115</v>
      </c>
      <c r="B27" s="798"/>
      <c r="C27" s="692">
        <f ca="1">C22+C16+C26</f>
        <v>27673.219550046641</v>
      </c>
      <c r="D27" s="692">
        <f t="shared" ref="D27:R27" ca="1" si="3">D22+D16+D26</f>
        <v>0</v>
      </c>
      <c r="E27" s="692">
        <f t="shared" ca="1" si="3"/>
        <v>47762.513223345042</v>
      </c>
      <c r="F27" s="692">
        <f t="shared" si="3"/>
        <v>1485.2832805217386</v>
      </c>
      <c r="G27" s="692">
        <f t="shared" ca="1" si="3"/>
        <v>26396.590057203415</v>
      </c>
      <c r="H27" s="692">
        <f t="shared" si="3"/>
        <v>163347.81448083068</v>
      </c>
      <c r="I27" s="692">
        <f t="shared" si="3"/>
        <v>41379.230010222054</v>
      </c>
      <c r="J27" s="692">
        <f t="shared" si="3"/>
        <v>0</v>
      </c>
      <c r="K27" s="692">
        <f t="shared" si="3"/>
        <v>184.75993926277408</v>
      </c>
      <c r="L27" s="692">
        <f t="shared" si="3"/>
        <v>0</v>
      </c>
      <c r="M27" s="692">
        <f t="shared" ca="1" si="3"/>
        <v>0</v>
      </c>
      <c r="N27" s="692">
        <f t="shared" si="3"/>
        <v>12070.005609238187</v>
      </c>
      <c r="O27" s="692">
        <f t="shared" ca="1" si="3"/>
        <v>6472.3025916123133</v>
      </c>
      <c r="P27" s="692">
        <f t="shared" si="3"/>
        <v>235.03641421473685</v>
      </c>
      <c r="Q27" s="692">
        <f t="shared" si="3"/>
        <v>336.95603961399064</v>
      </c>
      <c r="R27" s="692">
        <f t="shared" ca="1" si="3"/>
        <v>327343.71119611163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1823.7609397914207</v>
      </c>
      <c r="D40" s="682">
        <f ca="1">tertiair!C20</f>
        <v>0</v>
      </c>
      <c r="E40" s="682">
        <f ca="1">tertiair!D20</f>
        <v>1501.3777482805413</v>
      </c>
      <c r="F40" s="682">
        <f>tertiair!E20</f>
        <v>11.108877722896908</v>
      </c>
      <c r="G40" s="682">
        <f ca="1">tertiair!F20</f>
        <v>625.49996327034228</v>
      </c>
      <c r="H40" s="682">
        <f>tertiair!G20</f>
        <v>0</v>
      </c>
      <c r="I40" s="682">
        <f>tertiair!H20</f>
        <v>0</v>
      </c>
      <c r="J40" s="682">
        <f>tertiair!I20</f>
        <v>0</v>
      </c>
      <c r="K40" s="682">
        <f>tertiair!J20</f>
        <v>1.0530307335326399E-2</v>
      </c>
      <c r="L40" s="682">
        <f>tertiair!K20</f>
        <v>0</v>
      </c>
      <c r="M40" s="682">
        <f ca="1">tertiair!L20</f>
        <v>0</v>
      </c>
      <c r="N40" s="682">
        <f>tertiair!M20</f>
        <v>0</v>
      </c>
      <c r="O40" s="682">
        <f ca="1">tertiair!N20</f>
        <v>0</v>
      </c>
      <c r="P40" s="682">
        <f>tertiair!O20</f>
        <v>0</v>
      </c>
      <c r="Q40" s="765">
        <f>tertiair!P20</f>
        <v>0</v>
      </c>
      <c r="R40" s="844">
        <f t="shared" ca="1" si="4"/>
        <v>3961.7580593725361</v>
      </c>
    </row>
    <row r="41" spans="1:18">
      <c r="A41" s="816" t="s">
        <v>220</v>
      </c>
      <c r="B41" s="823"/>
      <c r="C41" s="682">
        <f ca="1">huishoudens!B12</f>
        <v>3281.0120194001588</v>
      </c>
      <c r="D41" s="682">
        <f ca="1">huishoudens!C12</f>
        <v>0</v>
      </c>
      <c r="E41" s="682">
        <f>huishoudens!D12</f>
        <v>7621.2013378774018</v>
      </c>
      <c r="F41" s="682">
        <f>huishoudens!E12</f>
        <v>228.85312287964396</v>
      </c>
      <c r="G41" s="682">
        <f>huishoudens!F12</f>
        <v>6114.1147576373678</v>
      </c>
      <c r="H41" s="682">
        <f>huishoudens!G12</f>
        <v>0</v>
      </c>
      <c r="I41" s="682">
        <f>huishoudens!H12</f>
        <v>0</v>
      </c>
      <c r="J41" s="682">
        <f>huishoudens!I12</f>
        <v>0</v>
      </c>
      <c r="K41" s="682">
        <f>huishoudens!J12</f>
        <v>40.554723353007766</v>
      </c>
      <c r="L41" s="682">
        <f>huishoudens!K12</f>
        <v>0</v>
      </c>
      <c r="M41" s="682">
        <f>huishoudens!L12</f>
        <v>0</v>
      </c>
      <c r="N41" s="682">
        <f>huishoudens!M12</f>
        <v>0</v>
      </c>
      <c r="O41" s="682">
        <f>huishoudens!N12</f>
        <v>0</v>
      </c>
      <c r="P41" s="682">
        <f>huishoudens!O12</f>
        <v>0</v>
      </c>
      <c r="Q41" s="765">
        <f>huishoudens!P12</f>
        <v>0</v>
      </c>
      <c r="R41" s="844">
        <f t="shared" ca="1" si="4"/>
        <v>17285.73596114758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155.76896189383862</v>
      </c>
      <c r="D43" s="682">
        <f ca="1">industrie!C22</f>
        <v>0</v>
      </c>
      <c r="E43" s="682">
        <f>industrie!D22</f>
        <v>157.23861907697147</v>
      </c>
      <c r="F43" s="682">
        <f>industrie!E22</f>
        <v>0.57586259284524965</v>
      </c>
      <c r="G43" s="682">
        <f>industrie!F22</f>
        <v>77.111136837908802</v>
      </c>
      <c r="H43" s="682">
        <f>industrie!G22</f>
        <v>0</v>
      </c>
      <c r="I43" s="682">
        <f>industrie!H22</f>
        <v>0</v>
      </c>
      <c r="J43" s="682">
        <f>industrie!I22</f>
        <v>0</v>
      </c>
      <c r="K43" s="682">
        <f>industrie!J22</f>
        <v>4.1772832187537579E-2</v>
      </c>
      <c r="L43" s="682">
        <f>industrie!K22</f>
        <v>0</v>
      </c>
      <c r="M43" s="682">
        <f>industrie!L22</f>
        <v>0</v>
      </c>
      <c r="N43" s="682">
        <f>industrie!M22</f>
        <v>0</v>
      </c>
      <c r="O43" s="682">
        <f>industrie!N22</f>
        <v>0</v>
      </c>
      <c r="P43" s="682">
        <f>industrie!O22</f>
        <v>0</v>
      </c>
      <c r="Q43" s="765">
        <f>industrie!P22</f>
        <v>0</v>
      </c>
      <c r="R43" s="843">
        <f t="shared" ca="1" si="4"/>
        <v>390.73635323375163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5260.5419210854179</v>
      </c>
      <c r="D46" s="718">
        <f t="shared" ref="D46:Q46" ca="1" si="5">SUM(D39:D45)</f>
        <v>0</v>
      </c>
      <c r="E46" s="718">
        <f t="shared" ca="1" si="5"/>
        <v>9279.8177052349147</v>
      </c>
      <c r="F46" s="718">
        <f t="shared" si="5"/>
        <v>240.53786319538614</v>
      </c>
      <c r="G46" s="718">
        <f t="shared" ca="1" si="5"/>
        <v>6816.7258577456187</v>
      </c>
      <c r="H46" s="718">
        <f t="shared" si="5"/>
        <v>0</v>
      </c>
      <c r="I46" s="718">
        <f t="shared" si="5"/>
        <v>0</v>
      </c>
      <c r="J46" s="718">
        <f t="shared" si="5"/>
        <v>0</v>
      </c>
      <c r="K46" s="718">
        <f t="shared" si="5"/>
        <v>40.607026492530636</v>
      </c>
      <c r="L46" s="718">
        <f t="shared" si="5"/>
        <v>0</v>
      </c>
      <c r="M46" s="718">
        <f t="shared" ca="1" si="5"/>
        <v>0</v>
      </c>
      <c r="N46" s="718">
        <f t="shared" si="5"/>
        <v>0</v>
      </c>
      <c r="O46" s="718">
        <f t="shared" ca="1" si="5"/>
        <v>0</v>
      </c>
      <c r="P46" s="718">
        <f t="shared" si="5"/>
        <v>0</v>
      </c>
      <c r="Q46" s="718">
        <f t="shared" si="5"/>
        <v>0</v>
      </c>
      <c r="R46" s="718">
        <f ca="1">SUM(R39:R45)</f>
        <v>21638.230373753868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8.3189917662047623</v>
      </c>
      <c r="D49" s="682">
        <f ca="1">transport!C58</f>
        <v>0</v>
      </c>
      <c r="E49" s="682">
        <f>transport!D58</f>
        <v>0</v>
      </c>
      <c r="F49" s="682">
        <f>transport!E58</f>
        <v>0</v>
      </c>
      <c r="G49" s="682">
        <f>transport!F58</f>
        <v>0</v>
      </c>
      <c r="H49" s="682">
        <f>transport!G58</f>
        <v>800.23458634800068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808.55357811420549</v>
      </c>
    </row>
    <row r="50" spans="1:18">
      <c r="A50" s="819" t="s">
        <v>302</v>
      </c>
      <c r="B50" s="829"/>
      <c r="C50" s="688">
        <f ca="1">transport!B18</f>
        <v>83.370270494164799</v>
      </c>
      <c r="D50" s="688">
        <f>transport!C18</f>
        <v>0</v>
      </c>
      <c r="E50" s="688">
        <f>transport!D18</f>
        <v>133.38848466910002</v>
      </c>
      <c r="F50" s="688">
        <f>transport!E18</f>
        <v>94.362371728917125</v>
      </c>
      <c r="G50" s="688">
        <f>transport!F18</f>
        <v>0</v>
      </c>
      <c r="H50" s="688">
        <f>transport!G18</f>
        <v>42813.631880033798</v>
      </c>
      <c r="I50" s="688">
        <f>transport!H18</f>
        <v>10303.428272545292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53428.181279471275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91.68926226036956</v>
      </c>
      <c r="D52" s="718">
        <f t="shared" ref="D52:Q52" ca="1" si="6">SUM(D48:D51)</f>
        <v>0</v>
      </c>
      <c r="E52" s="718">
        <f t="shared" si="6"/>
        <v>133.38848466910002</v>
      </c>
      <c r="F52" s="718">
        <f t="shared" si="6"/>
        <v>94.362371728917125</v>
      </c>
      <c r="G52" s="718">
        <f t="shared" si="6"/>
        <v>0</v>
      </c>
      <c r="H52" s="718">
        <f t="shared" si="6"/>
        <v>43613.866466381798</v>
      </c>
      <c r="I52" s="718">
        <f t="shared" si="6"/>
        <v>10303.428272545292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54236.734857585478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52.869595922592381</v>
      </c>
      <c r="D54" s="688">
        <f ca="1">+landbouw!C12</f>
        <v>0</v>
      </c>
      <c r="E54" s="688">
        <f>+landbouw!D12</f>
        <v>52.829282040679821</v>
      </c>
      <c r="F54" s="688">
        <f>+landbouw!E12</f>
        <v>2.2590697541314442</v>
      </c>
      <c r="G54" s="688">
        <f>+landbouw!F12</f>
        <v>231.1636875276933</v>
      </c>
      <c r="H54" s="688">
        <f>+landbouw!G12</f>
        <v>0</v>
      </c>
      <c r="I54" s="688">
        <f>+landbouw!H12</f>
        <v>0</v>
      </c>
      <c r="J54" s="688">
        <f>+landbouw!I12</f>
        <v>0</v>
      </c>
      <c r="K54" s="688">
        <f>+landbouw!J12</f>
        <v>24.797992006491391</v>
      </c>
      <c r="L54" s="688">
        <f>+landbouw!K12</f>
        <v>0</v>
      </c>
      <c r="M54" s="688">
        <f>+landbouw!L12</f>
        <v>0</v>
      </c>
      <c r="N54" s="688">
        <f>+landbouw!M12</f>
        <v>0</v>
      </c>
      <c r="O54" s="688">
        <f>+landbouw!N12</f>
        <v>0</v>
      </c>
      <c r="P54" s="688">
        <f>+landbouw!O12</f>
        <v>0</v>
      </c>
      <c r="Q54" s="689">
        <f>+landbouw!P12</f>
        <v>0</v>
      </c>
      <c r="R54" s="717">
        <f ca="1">SUM(C54:Q54)</f>
        <v>363.91962725158834</v>
      </c>
    </row>
    <row r="55" spans="1:18" ht="15" thickBot="1">
      <c r="A55" s="819" t="s">
        <v>703</v>
      </c>
      <c r="B55" s="829"/>
      <c r="C55" s="688">
        <f ca="1">C25*'EF ele_warmte'!B12</f>
        <v>77.541385042495008</v>
      </c>
      <c r="D55" s="688"/>
      <c r="E55" s="688">
        <f>E25*EF_CO2_aardgas</f>
        <v>181.99219917100478</v>
      </c>
      <c r="F55" s="688"/>
      <c r="G55" s="688"/>
      <c r="H55" s="688"/>
      <c r="I55" s="688"/>
      <c r="J55" s="688"/>
      <c r="K55" s="688"/>
      <c r="L55" s="688"/>
      <c r="M55" s="688"/>
      <c r="N55" s="688"/>
      <c r="O55" s="688"/>
      <c r="P55" s="688"/>
      <c r="Q55" s="689"/>
      <c r="R55" s="717">
        <f ca="1">SUM(C55:Q55)</f>
        <v>259.53358421349981</v>
      </c>
    </row>
    <row r="56" spans="1:18" ht="15.75" thickBot="1">
      <c r="A56" s="817" t="s">
        <v>704</v>
      </c>
      <c r="B56" s="830"/>
      <c r="C56" s="718">
        <f ca="1">SUM(C54:C55)</f>
        <v>130.41098096508739</v>
      </c>
      <c r="D56" s="718">
        <f t="shared" ref="D56:Q56" ca="1" si="7">SUM(D54:D55)</f>
        <v>0</v>
      </c>
      <c r="E56" s="718">
        <f t="shared" si="7"/>
        <v>234.82148121168461</v>
      </c>
      <c r="F56" s="718">
        <f t="shared" si="7"/>
        <v>2.2590697541314442</v>
      </c>
      <c r="G56" s="718">
        <f t="shared" si="7"/>
        <v>231.1636875276933</v>
      </c>
      <c r="H56" s="718">
        <f t="shared" si="7"/>
        <v>0</v>
      </c>
      <c r="I56" s="718">
        <f t="shared" si="7"/>
        <v>0</v>
      </c>
      <c r="J56" s="718">
        <f t="shared" si="7"/>
        <v>0</v>
      </c>
      <c r="K56" s="718">
        <f t="shared" si="7"/>
        <v>24.797992006491391</v>
      </c>
      <c r="L56" s="718">
        <f t="shared" si="7"/>
        <v>0</v>
      </c>
      <c r="M56" s="718">
        <f t="shared" si="7"/>
        <v>0</v>
      </c>
      <c r="N56" s="718">
        <f t="shared" si="7"/>
        <v>0</v>
      </c>
      <c r="O56" s="718">
        <f t="shared" si="7"/>
        <v>0</v>
      </c>
      <c r="P56" s="718">
        <f t="shared" si="7"/>
        <v>0</v>
      </c>
      <c r="Q56" s="719">
        <f t="shared" si="7"/>
        <v>0</v>
      </c>
      <c r="R56" s="720">
        <f ca="1">SUM(R54:R55)</f>
        <v>623.45321146508809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5482.6421643108752</v>
      </c>
      <c r="D61" s="726">
        <f t="shared" ref="D61:Q61" ca="1" si="8">D46+D52+D56</f>
        <v>0</v>
      </c>
      <c r="E61" s="726">
        <f t="shared" ca="1" si="8"/>
        <v>9648.0276711156985</v>
      </c>
      <c r="F61" s="726">
        <f t="shared" si="8"/>
        <v>337.15930467843469</v>
      </c>
      <c r="G61" s="726">
        <f t="shared" ca="1" si="8"/>
        <v>7047.8895452733123</v>
      </c>
      <c r="H61" s="726">
        <f t="shared" si="8"/>
        <v>43613.866466381798</v>
      </c>
      <c r="I61" s="726">
        <f t="shared" si="8"/>
        <v>10303.428272545292</v>
      </c>
      <c r="J61" s="726">
        <f t="shared" si="8"/>
        <v>0</v>
      </c>
      <c r="K61" s="726">
        <f t="shared" si="8"/>
        <v>65.40501849902202</v>
      </c>
      <c r="L61" s="726">
        <f t="shared" si="8"/>
        <v>0</v>
      </c>
      <c r="M61" s="726">
        <f t="shared" ca="1" si="8"/>
        <v>0</v>
      </c>
      <c r="N61" s="726">
        <f t="shared" si="8"/>
        <v>0</v>
      </c>
      <c r="O61" s="726">
        <f t="shared" ca="1" si="8"/>
        <v>0</v>
      </c>
      <c r="P61" s="726">
        <f t="shared" si="8"/>
        <v>0</v>
      </c>
      <c r="Q61" s="726">
        <f t="shared" si="8"/>
        <v>0</v>
      </c>
      <c r="R61" s="726">
        <f ca="1">R46+R52+R56</f>
        <v>76498.418442804439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0.1981208639058275</v>
      </c>
      <c r="D63" s="772">
        <f t="shared" ca="1" si="9"/>
        <v>0</v>
      </c>
      <c r="E63" s="964">
        <f t="shared" ca="1" si="9"/>
        <v>0.20199999999999999</v>
      </c>
      <c r="F63" s="772">
        <f t="shared" si="9"/>
        <v>0.22700000000000004</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2864.8839649295574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2864.8839649295574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16560.658755050237</v>
      </c>
      <c r="C4" s="449">
        <f>huishoudens!C8</f>
        <v>0</v>
      </c>
      <c r="D4" s="449">
        <f>huishoudens!D8</f>
        <v>37728.719494442579</v>
      </c>
      <c r="E4" s="449">
        <f>huishoudens!E8</f>
        <v>1008.163536914731</v>
      </c>
      <c r="F4" s="449">
        <f>huishoudens!F8</f>
        <v>22899.306208379654</v>
      </c>
      <c r="G4" s="449">
        <f>huishoudens!G8</f>
        <v>0</v>
      </c>
      <c r="H4" s="449">
        <f>huishoudens!H8</f>
        <v>0</v>
      </c>
      <c r="I4" s="449">
        <f>huishoudens!I8</f>
        <v>0</v>
      </c>
      <c r="J4" s="449">
        <f>huishoudens!J8</f>
        <v>114.56136540397675</v>
      </c>
      <c r="K4" s="449">
        <f>huishoudens!K8</f>
        <v>0</v>
      </c>
      <c r="L4" s="449">
        <f>huishoudens!L8</f>
        <v>0</v>
      </c>
      <c r="M4" s="449">
        <f>huishoudens!M8</f>
        <v>0</v>
      </c>
      <c r="N4" s="449">
        <f>huishoudens!N8</f>
        <v>5362.1202050263055</v>
      </c>
      <c r="O4" s="449">
        <f>huishoudens!O8</f>
        <v>230.13915344889568</v>
      </c>
      <c r="P4" s="450">
        <f>huishoudens!P8</f>
        <v>284.41690130749561</v>
      </c>
      <c r="Q4" s="451">
        <f>SUM(B4:P4)</f>
        <v>84188.085619973892</v>
      </c>
    </row>
    <row r="5" spans="1:17">
      <c r="A5" s="448" t="s">
        <v>155</v>
      </c>
      <c r="B5" s="449">
        <f ca="1">tertiair!B16</f>
        <v>8674.8237066610127</v>
      </c>
      <c r="C5" s="449">
        <f ca="1">tertiair!C16</f>
        <v>0</v>
      </c>
      <c r="D5" s="449">
        <f ca="1">tertiair!D16</f>
        <v>7432.5631102997086</v>
      </c>
      <c r="E5" s="449">
        <f>tertiair!E16</f>
        <v>48.937787325537037</v>
      </c>
      <c r="F5" s="449">
        <f ca="1">tertiair!F16</f>
        <v>2342.696491649222</v>
      </c>
      <c r="G5" s="449">
        <f>tertiair!G16</f>
        <v>0</v>
      </c>
      <c r="H5" s="449">
        <f>tertiair!H16</f>
        <v>0</v>
      </c>
      <c r="I5" s="449">
        <f>tertiair!I16</f>
        <v>0</v>
      </c>
      <c r="J5" s="449">
        <f>tertiair!J16</f>
        <v>2.9746630890752541E-2</v>
      </c>
      <c r="K5" s="449">
        <f>tertiair!K16</f>
        <v>0</v>
      </c>
      <c r="L5" s="449">
        <f ca="1">tertiair!L16</f>
        <v>0</v>
      </c>
      <c r="M5" s="449">
        <f>tertiair!M16</f>
        <v>0</v>
      </c>
      <c r="N5" s="449">
        <f ca="1">tertiair!N16</f>
        <v>1083.2031518796632</v>
      </c>
      <c r="O5" s="449">
        <f>tertiair!O16</f>
        <v>4.8972607658411542</v>
      </c>
      <c r="P5" s="450">
        <f>tertiair!P16</f>
        <v>52.539138306495019</v>
      </c>
      <c r="Q5" s="448">
        <f t="shared" ref="Q5:Q14" ca="1" si="0">SUM(B5:P5)</f>
        <v>19639.690393518373</v>
      </c>
    </row>
    <row r="6" spans="1:17">
      <c r="A6" s="448" t="s">
        <v>193</v>
      </c>
      <c r="B6" s="449">
        <f>'openbare verlichting'!B8</f>
        <v>530.471</v>
      </c>
      <c r="C6" s="449"/>
      <c r="D6" s="449"/>
      <c r="E6" s="449"/>
      <c r="F6" s="449"/>
      <c r="G6" s="449"/>
      <c r="H6" s="449"/>
      <c r="I6" s="449"/>
      <c r="J6" s="449"/>
      <c r="K6" s="449"/>
      <c r="L6" s="449"/>
      <c r="M6" s="449"/>
      <c r="N6" s="449"/>
      <c r="O6" s="449"/>
      <c r="P6" s="450"/>
      <c r="Q6" s="448">
        <f t="shared" si="0"/>
        <v>530.471</v>
      </c>
    </row>
    <row r="7" spans="1:17">
      <c r="A7" s="448" t="s">
        <v>111</v>
      </c>
      <c r="B7" s="449">
        <f>landbouw!B8</f>
        <v>266.85526642828899</v>
      </c>
      <c r="C7" s="449">
        <f>landbouw!C8</f>
        <v>0</v>
      </c>
      <c r="D7" s="449">
        <f>landbouw!D8</f>
        <v>261.53109921128623</v>
      </c>
      <c r="E7" s="449">
        <f>landbouw!E8</f>
        <v>9.9518491371429256</v>
      </c>
      <c r="F7" s="449">
        <f>landbouw!F8</f>
        <v>865.78160122731572</v>
      </c>
      <c r="G7" s="449">
        <f>landbouw!G8</f>
        <v>0</v>
      </c>
      <c r="H7" s="449">
        <f>landbouw!H8</f>
        <v>0</v>
      </c>
      <c r="I7" s="449">
        <f>landbouw!I8</f>
        <v>0</v>
      </c>
      <c r="J7" s="449">
        <f>landbouw!J8</f>
        <v>70.050824877094328</v>
      </c>
      <c r="K7" s="449">
        <f>landbouw!K8</f>
        <v>0</v>
      </c>
      <c r="L7" s="449">
        <f>landbouw!L8</f>
        <v>0</v>
      </c>
      <c r="M7" s="449">
        <f>landbouw!M8</f>
        <v>0</v>
      </c>
      <c r="N7" s="449">
        <f>landbouw!N8</f>
        <v>0</v>
      </c>
      <c r="O7" s="449">
        <f>landbouw!O8</f>
        <v>0</v>
      </c>
      <c r="P7" s="450">
        <f>landbouw!P8</f>
        <v>0</v>
      </c>
      <c r="Q7" s="448">
        <f t="shared" si="0"/>
        <v>1474.1706408811283</v>
      </c>
    </row>
    <row r="8" spans="1:17">
      <c r="A8" s="448" t="s">
        <v>618</v>
      </c>
      <c r="B8" s="449">
        <f>industrie!B18</f>
        <v>786.23199406136268</v>
      </c>
      <c r="C8" s="449">
        <f>industrie!C18</f>
        <v>0</v>
      </c>
      <c r="D8" s="449">
        <f>industrie!D18</f>
        <v>778.40900533154183</v>
      </c>
      <c r="E8" s="449">
        <f>industrie!E18</f>
        <v>2.5368396160583684</v>
      </c>
      <c r="F8" s="449">
        <f>industrie!F18</f>
        <v>288.80575594722399</v>
      </c>
      <c r="G8" s="449">
        <f>industrie!G18</f>
        <v>0</v>
      </c>
      <c r="H8" s="449">
        <f>industrie!H18</f>
        <v>0</v>
      </c>
      <c r="I8" s="449">
        <f>industrie!I18</f>
        <v>0</v>
      </c>
      <c r="J8" s="449">
        <f>industrie!J18</f>
        <v>0.11800235081225306</v>
      </c>
      <c r="K8" s="449">
        <f>industrie!K18</f>
        <v>0</v>
      </c>
      <c r="L8" s="449">
        <f>industrie!L18</f>
        <v>0</v>
      </c>
      <c r="M8" s="449">
        <f>industrie!M18</f>
        <v>0</v>
      </c>
      <c r="N8" s="449">
        <f>industrie!N18</f>
        <v>26.979234706345306</v>
      </c>
      <c r="O8" s="449">
        <f>industrie!O18</f>
        <v>0</v>
      </c>
      <c r="P8" s="450">
        <f>industrie!P18</f>
        <v>0</v>
      </c>
      <c r="Q8" s="448">
        <f t="shared" si="0"/>
        <v>1883.0808320133447</v>
      </c>
    </row>
    <row r="9" spans="1:17" s="454" customFormat="1">
      <c r="A9" s="452" t="s">
        <v>544</v>
      </c>
      <c r="B9" s="453">
        <f>transport!B14</f>
        <v>420.80510275683571</v>
      </c>
      <c r="C9" s="453">
        <f>transport!C14</f>
        <v>0</v>
      </c>
      <c r="D9" s="453">
        <f>transport!D14</f>
        <v>660.33903301534656</v>
      </c>
      <c r="E9" s="453">
        <f>transport!E14</f>
        <v>415.69326752826925</v>
      </c>
      <c r="F9" s="453">
        <f>transport!F14</f>
        <v>0</v>
      </c>
      <c r="G9" s="453">
        <f>transport!G14</f>
        <v>160350.68119862844</v>
      </c>
      <c r="H9" s="453">
        <f>transport!H14</f>
        <v>41379.230010222054</v>
      </c>
      <c r="I9" s="453">
        <f>transport!I14</f>
        <v>0</v>
      </c>
      <c r="J9" s="453">
        <f>transport!J14</f>
        <v>0</v>
      </c>
      <c r="K9" s="453">
        <f>transport!K14</f>
        <v>0</v>
      </c>
      <c r="L9" s="453">
        <f>transport!L14</f>
        <v>0</v>
      </c>
      <c r="M9" s="453">
        <f>transport!M14</f>
        <v>11904.508123821355</v>
      </c>
      <c r="N9" s="453">
        <f>transport!N14</f>
        <v>0</v>
      </c>
      <c r="O9" s="453">
        <f>transport!O14</f>
        <v>0</v>
      </c>
      <c r="P9" s="453">
        <f>transport!P14</f>
        <v>0</v>
      </c>
      <c r="Q9" s="452">
        <f>SUM(B9:P9)</f>
        <v>215131.2567359723</v>
      </c>
    </row>
    <row r="10" spans="1:17">
      <c r="A10" s="448" t="s">
        <v>534</v>
      </c>
      <c r="B10" s="449">
        <f>transport!B54</f>
        <v>41.989478554661545</v>
      </c>
      <c r="C10" s="449">
        <f>transport!C54</f>
        <v>0</v>
      </c>
      <c r="D10" s="449">
        <f>transport!D54</f>
        <v>0</v>
      </c>
      <c r="E10" s="449">
        <f>transport!E54</f>
        <v>0</v>
      </c>
      <c r="F10" s="449">
        <f>transport!F54</f>
        <v>0</v>
      </c>
      <c r="G10" s="449">
        <f>transport!G54</f>
        <v>2997.1332822022496</v>
      </c>
      <c r="H10" s="449">
        <f>transport!H54</f>
        <v>0</v>
      </c>
      <c r="I10" s="449">
        <f>transport!I54</f>
        <v>0</v>
      </c>
      <c r="J10" s="449">
        <f>transport!J54</f>
        <v>0</v>
      </c>
      <c r="K10" s="449">
        <f>transport!K54</f>
        <v>0</v>
      </c>
      <c r="L10" s="449">
        <f>transport!L54</f>
        <v>0</v>
      </c>
      <c r="M10" s="449">
        <f>transport!M54</f>
        <v>165.49748541683164</v>
      </c>
      <c r="N10" s="449">
        <f>transport!N54</f>
        <v>0</v>
      </c>
      <c r="O10" s="449">
        <f>transport!O54</f>
        <v>0</v>
      </c>
      <c r="P10" s="450">
        <f>transport!P54</f>
        <v>0</v>
      </c>
      <c r="Q10" s="448">
        <f t="shared" si="0"/>
        <v>3204.620246173743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391.38424653424005</v>
      </c>
      <c r="C14" s="456"/>
      <c r="D14" s="456">
        <f>'SEAP template'!E25</f>
        <v>900.95148104457803</v>
      </c>
      <c r="E14" s="456"/>
      <c r="F14" s="456"/>
      <c r="G14" s="456"/>
      <c r="H14" s="456"/>
      <c r="I14" s="456"/>
      <c r="J14" s="456"/>
      <c r="K14" s="456"/>
      <c r="L14" s="456"/>
      <c r="M14" s="456"/>
      <c r="N14" s="456"/>
      <c r="O14" s="456"/>
      <c r="P14" s="457"/>
      <c r="Q14" s="448">
        <f t="shared" si="0"/>
        <v>1292.335727578818</v>
      </c>
    </row>
    <row r="15" spans="1:17" s="460" customFormat="1">
      <c r="A15" s="458" t="s">
        <v>538</v>
      </c>
      <c r="B15" s="459">
        <f ca="1">SUM(B4:B14)</f>
        <v>27673.219550046641</v>
      </c>
      <c r="C15" s="459">
        <f t="shared" ref="C15:Q15" ca="1" si="1">SUM(C4:C14)</f>
        <v>0</v>
      </c>
      <c r="D15" s="459">
        <f t="shared" ca="1" si="1"/>
        <v>47762.513223345042</v>
      </c>
      <c r="E15" s="459">
        <f t="shared" si="1"/>
        <v>1485.2832805217386</v>
      </c>
      <c r="F15" s="459">
        <f t="shared" ca="1" si="1"/>
        <v>26396.590057203415</v>
      </c>
      <c r="G15" s="459">
        <f t="shared" si="1"/>
        <v>163347.81448083068</v>
      </c>
      <c r="H15" s="459">
        <f t="shared" si="1"/>
        <v>41379.230010222054</v>
      </c>
      <c r="I15" s="459">
        <f t="shared" si="1"/>
        <v>0</v>
      </c>
      <c r="J15" s="459">
        <f t="shared" si="1"/>
        <v>184.75993926277408</v>
      </c>
      <c r="K15" s="459">
        <f t="shared" si="1"/>
        <v>0</v>
      </c>
      <c r="L15" s="459">
        <f t="shared" ca="1" si="1"/>
        <v>0</v>
      </c>
      <c r="M15" s="459">
        <f t="shared" si="1"/>
        <v>12070.005609238187</v>
      </c>
      <c r="N15" s="459">
        <f t="shared" ca="1" si="1"/>
        <v>6472.3025916123133</v>
      </c>
      <c r="O15" s="459">
        <f t="shared" si="1"/>
        <v>235.03641421473685</v>
      </c>
      <c r="P15" s="459">
        <f t="shared" si="1"/>
        <v>336.95603961399064</v>
      </c>
      <c r="Q15" s="459">
        <f t="shared" ca="1" si="1"/>
        <v>327343.71119611163</v>
      </c>
    </row>
    <row r="17" spans="1:17">
      <c r="A17" s="461" t="s">
        <v>539</v>
      </c>
      <c r="B17" s="777">
        <f ca="1">huishoudens!B10</f>
        <v>0.1981208639058275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3281.0120194001588</v>
      </c>
      <c r="C22" s="449">
        <f t="shared" ref="C22:C32" ca="1" si="3">C4*$C$17</f>
        <v>0</v>
      </c>
      <c r="D22" s="449">
        <f t="shared" ref="D22:D32" si="4">D4*$D$17</f>
        <v>7621.2013378774018</v>
      </c>
      <c r="E22" s="449">
        <f t="shared" ref="E22:E32" si="5">E4*$E$17</f>
        <v>228.85312287964396</v>
      </c>
      <c r="F22" s="449">
        <f t="shared" ref="F22:F32" si="6">F4*$F$17</f>
        <v>6114.1147576373678</v>
      </c>
      <c r="G22" s="449">
        <f t="shared" ref="G22:G32" si="7">G4*$G$17</f>
        <v>0</v>
      </c>
      <c r="H22" s="449">
        <f t="shared" ref="H22:H32" si="8">H4*$H$17</f>
        <v>0</v>
      </c>
      <c r="I22" s="449">
        <f t="shared" ref="I22:I32" si="9">I4*$I$17</f>
        <v>0</v>
      </c>
      <c r="J22" s="449">
        <f t="shared" ref="J22:J32" si="10">J4*$J$17</f>
        <v>40.554723353007766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17285.73596114758</v>
      </c>
    </row>
    <row r="23" spans="1:17">
      <c r="A23" s="448" t="s">
        <v>155</v>
      </c>
      <c r="B23" s="449">
        <f t="shared" ca="1" si="2"/>
        <v>1718.6635669944326</v>
      </c>
      <c r="C23" s="449">
        <f t="shared" ca="1" si="3"/>
        <v>0</v>
      </c>
      <c r="D23" s="449">
        <f t="shared" ca="1" si="4"/>
        <v>1501.3777482805413</v>
      </c>
      <c r="E23" s="449">
        <f t="shared" si="5"/>
        <v>11.108877722896908</v>
      </c>
      <c r="F23" s="449">
        <f t="shared" ca="1" si="6"/>
        <v>625.49996327034228</v>
      </c>
      <c r="G23" s="449">
        <f t="shared" si="7"/>
        <v>0</v>
      </c>
      <c r="H23" s="449">
        <f t="shared" si="8"/>
        <v>0</v>
      </c>
      <c r="I23" s="449">
        <f t="shared" si="9"/>
        <v>0</v>
      </c>
      <c r="J23" s="449">
        <f t="shared" si="10"/>
        <v>1.0530307335326399E-2</v>
      </c>
      <c r="K23" s="449">
        <f t="shared" si="11"/>
        <v>0</v>
      </c>
      <c r="L23" s="449">
        <f t="shared" ca="1" si="12"/>
        <v>0</v>
      </c>
      <c r="M23" s="449">
        <f t="shared" si="13"/>
        <v>0</v>
      </c>
      <c r="N23" s="449">
        <f t="shared" ca="1" si="14"/>
        <v>0</v>
      </c>
      <c r="O23" s="449">
        <f t="shared" si="15"/>
        <v>0</v>
      </c>
      <c r="P23" s="450">
        <f t="shared" si="16"/>
        <v>0</v>
      </c>
      <c r="Q23" s="448">
        <f t="shared" ref="Q23:Q31" ca="1" si="17">SUM(B23:P23)</f>
        <v>3856.6606865755484</v>
      </c>
    </row>
    <row r="24" spans="1:17">
      <c r="A24" s="448" t="s">
        <v>193</v>
      </c>
      <c r="B24" s="449">
        <f t="shared" ca="1" si="2"/>
        <v>105.09737279698822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105.09737279698822</v>
      </c>
    </row>
    <row r="25" spans="1:17">
      <c r="A25" s="448" t="s">
        <v>111</v>
      </c>
      <c r="B25" s="449">
        <f t="shared" ca="1" si="2"/>
        <v>52.869595922592381</v>
      </c>
      <c r="C25" s="449">
        <f t="shared" ca="1" si="3"/>
        <v>0</v>
      </c>
      <c r="D25" s="449">
        <f t="shared" si="4"/>
        <v>52.829282040679821</v>
      </c>
      <c r="E25" s="449">
        <f t="shared" si="5"/>
        <v>2.2590697541314442</v>
      </c>
      <c r="F25" s="449">
        <f t="shared" si="6"/>
        <v>231.1636875276933</v>
      </c>
      <c r="G25" s="449">
        <f t="shared" si="7"/>
        <v>0</v>
      </c>
      <c r="H25" s="449">
        <f t="shared" si="8"/>
        <v>0</v>
      </c>
      <c r="I25" s="449">
        <f t="shared" si="9"/>
        <v>0</v>
      </c>
      <c r="J25" s="449">
        <f t="shared" si="10"/>
        <v>24.797992006491391</v>
      </c>
      <c r="K25" s="449">
        <f t="shared" si="11"/>
        <v>0</v>
      </c>
      <c r="L25" s="449">
        <f t="shared" si="12"/>
        <v>0</v>
      </c>
      <c r="M25" s="449">
        <f t="shared" si="13"/>
        <v>0</v>
      </c>
      <c r="N25" s="449">
        <f t="shared" si="14"/>
        <v>0</v>
      </c>
      <c r="O25" s="449">
        <f t="shared" si="15"/>
        <v>0</v>
      </c>
      <c r="P25" s="450">
        <f t="shared" si="16"/>
        <v>0</v>
      </c>
      <c r="Q25" s="448">
        <f t="shared" ca="1" si="17"/>
        <v>363.91962725158834</v>
      </c>
    </row>
    <row r="26" spans="1:17">
      <c r="A26" s="448" t="s">
        <v>618</v>
      </c>
      <c r="B26" s="449">
        <f t="shared" ca="1" si="2"/>
        <v>155.76896189383862</v>
      </c>
      <c r="C26" s="449">
        <f t="shared" ca="1" si="3"/>
        <v>0</v>
      </c>
      <c r="D26" s="449">
        <f t="shared" si="4"/>
        <v>157.23861907697147</v>
      </c>
      <c r="E26" s="449">
        <f t="shared" si="5"/>
        <v>0.57586259284524965</v>
      </c>
      <c r="F26" s="449">
        <f t="shared" si="6"/>
        <v>77.111136837908802</v>
      </c>
      <c r="G26" s="449">
        <f t="shared" si="7"/>
        <v>0</v>
      </c>
      <c r="H26" s="449">
        <f t="shared" si="8"/>
        <v>0</v>
      </c>
      <c r="I26" s="449">
        <f t="shared" si="9"/>
        <v>0</v>
      </c>
      <c r="J26" s="449">
        <f t="shared" si="10"/>
        <v>4.1772832187537579E-2</v>
      </c>
      <c r="K26" s="449">
        <f t="shared" si="11"/>
        <v>0</v>
      </c>
      <c r="L26" s="449">
        <f t="shared" si="12"/>
        <v>0</v>
      </c>
      <c r="M26" s="449">
        <f t="shared" si="13"/>
        <v>0</v>
      </c>
      <c r="N26" s="449">
        <f t="shared" si="14"/>
        <v>0</v>
      </c>
      <c r="O26" s="449">
        <f t="shared" si="15"/>
        <v>0</v>
      </c>
      <c r="P26" s="450">
        <f t="shared" si="16"/>
        <v>0</v>
      </c>
      <c r="Q26" s="448">
        <f t="shared" ca="1" si="17"/>
        <v>390.73635323375163</v>
      </c>
    </row>
    <row r="27" spans="1:17" s="454" customFormat="1">
      <c r="A27" s="452" t="s">
        <v>544</v>
      </c>
      <c r="B27" s="771">
        <f t="shared" ca="1" si="2"/>
        <v>83.370270494164799</v>
      </c>
      <c r="C27" s="453">
        <f t="shared" ca="1" si="3"/>
        <v>0</v>
      </c>
      <c r="D27" s="453">
        <f t="shared" si="4"/>
        <v>133.38848466910002</v>
      </c>
      <c r="E27" s="453">
        <f t="shared" si="5"/>
        <v>94.362371728917125</v>
      </c>
      <c r="F27" s="453">
        <f t="shared" si="6"/>
        <v>0</v>
      </c>
      <c r="G27" s="453">
        <f t="shared" si="7"/>
        <v>42813.631880033798</v>
      </c>
      <c r="H27" s="453">
        <f t="shared" si="8"/>
        <v>10303.428272545292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53428.181279471275</v>
      </c>
    </row>
    <row r="28" spans="1:17" ht="16.5" customHeight="1">
      <c r="A28" s="448" t="s">
        <v>534</v>
      </c>
      <c r="B28" s="449">
        <f t="shared" ca="1" si="2"/>
        <v>8.3189917662047623</v>
      </c>
      <c r="C28" s="449">
        <f t="shared" ca="1" si="3"/>
        <v>0</v>
      </c>
      <c r="D28" s="449">
        <f t="shared" si="4"/>
        <v>0</v>
      </c>
      <c r="E28" s="449">
        <f t="shared" si="5"/>
        <v>0</v>
      </c>
      <c r="F28" s="449">
        <f t="shared" si="6"/>
        <v>0</v>
      </c>
      <c r="G28" s="449">
        <f t="shared" si="7"/>
        <v>800.23458634800068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808.55357811420549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77.541385042495008</v>
      </c>
      <c r="C32" s="449">
        <f t="shared" ca="1" si="3"/>
        <v>0</v>
      </c>
      <c r="D32" s="449">
        <f t="shared" si="4"/>
        <v>181.99219917100478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259.53358421349981</v>
      </c>
    </row>
    <row r="33" spans="1:17" s="460" customFormat="1">
      <c r="A33" s="458" t="s">
        <v>538</v>
      </c>
      <c r="B33" s="459">
        <f ca="1">SUM(B22:B32)</f>
        <v>5482.6421643108752</v>
      </c>
      <c r="C33" s="459">
        <f t="shared" ref="C33:Q33" ca="1" si="19">SUM(C22:C32)</f>
        <v>0</v>
      </c>
      <c r="D33" s="459">
        <f t="shared" ca="1" si="19"/>
        <v>9648.0276711157003</v>
      </c>
      <c r="E33" s="459">
        <f t="shared" si="19"/>
        <v>337.15930467843469</v>
      </c>
      <c r="F33" s="459">
        <f t="shared" ca="1" si="19"/>
        <v>7047.8895452733123</v>
      </c>
      <c r="G33" s="459">
        <f t="shared" si="19"/>
        <v>43613.866466381798</v>
      </c>
      <c r="H33" s="459">
        <f t="shared" si="19"/>
        <v>10303.428272545292</v>
      </c>
      <c r="I33" s="459">
        <f t="shared" si="19"/>
        <v>0</v>
      </c>
      <c r="J33" s="459">
        <f t="shared" si="19"/>
        <v>65.40501849902202</v>
      </c>
      <c r="K33" s="459">
        <f t="shared" si="19"/>
        <v>0</v>
      </c>
      <c r="L33" s="459">
        <f t="shared" ca="1" si="19"/>
        <v>0</v>
      </c>
      <c r="M33" s="459">
        <f t="shared" si="19"/>
        <v>0</v>
      </c>
      <c r="N33" s="459">
        <f t="shared" ca="1" si="19"/>
        <v>0</v>
      </c>
      <c r="O33" s="459">
        <f t="shared" si="19"/>
        <v>0</v>
      </c>
      <c r="P33" s="459">
        <f t="shared" si="19"/>
        <v>0</v>
      </c>
      <c r="Q33" s="459">
        <f t="shared" ca="1" si="19"/>
        <v>76498.418442804439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2864.8839649295574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2864.8839649295574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0.1981208639058275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0.1981208639058275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0.1981208639058275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0.1981208639058275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3900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1846.06</v>
      </c>
      <c r="C14" s="326"/>
      <c r="D14" s="326"/>
      <c r="E14" s="326"/>
      <c r="F14" s="326"/>
    </row>
    <row r="15" spans="1:6">
      <c r="A15" s="1307" t="s">
        <v>183</v>
      </c>
      <c r="B15" s="1308">
        <v>3</v>
      </c>
      <c r="C15" s="326"/>
      <c r="D15" s="326"/>
      <c r="E15" s="326"/>
      <c r="F15" s="326"/>
    </row>
    <row r="16" spans="1:6">
      <c r="A16" s="1307" t="s">
        <v>6</v>
      </c>
      <c r="B16" s="1308">
        <v>95</v>
      </c>
      <c r="C16" s="326"/>
      <c r="D16" s="326"/>
      <c r="E16" s="326"/>
      <c r="F16" s="326"/>
    </row>
    <row r="17" spans="1:6">
      <c r="A17" s="1307" t="s">
        <v>7</v>
      </c>
      <c r="B17" s="1308">
        <v>357</v>
      </c>
      <c r="C17" s="326"/>
      <c r="D17" s="326"/>
      <c r="E17" s="326"/>
      <c r="F17" s="326"/>
    </row>
    <row r="18" spans="1:6">
      <c r="A18" s="1307" t="s">
        <v>8</v>
      </c>
      <c r="B18" s="1308">
        <v>462</v>
      </c>
      <c r="C18" s="326"/>
      <c r="D18" s="326"/>
      <c r="E18" s="326"/>
      <c r="F18" s="326"/>
    </row>
    <row r="19" spans="1:6">
      <c r="A19" s="1307" t="s">
        <v>9</v>
      </c>
      <c r="B19" s="1308">
        <v>302</v>
      </c>
      <c r="C19" s="326"/>
      <c r="D19" s="326"/>
      <c r="E19" s="326"/>
      <c r="F19" s="326"/>
    </row>
    <row r="20" spans="1:6">
      <c r="A20" s="1307" t="s">
        <v>10</v>
      </c>
      <c r="B20" s="1308">
        <v>416</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126</v>
      </c>
      <c r="C26" s="326"/>
      <c r="D26" s="326"/>
      <c r="E26" s="326"/>
      <c r="F26" s="326"/>
    </row>
    <row r="27" spans="1:6">
      <c r="A27" s="1307" t="s">
        <v>17</v>
      </c>
      <c r="B27" s="1308">
        <v>2</v>
      </c>
      <c r="C27" s="326"/>
      <c r="D27" s="326"/>
      <c r="E27" s="326"/>
      <c r="F27" s="326"/>
    </row>
    <row r="28" spans="1:6" s="43" customFormat="1">
      <c r="A28" s="1309" t="s">
        <v>18</v>
      </c>
      <c r="B28" s="1310">
        <v>0</v>
      </c>
      <c r="C28" s="332"/>
      <c r="D28" s="332"/>
      <c r="E28" s="332"/>
      <c r="F28" s="332"/>
    </row>
    <row r="29" spans="1:6">
      <c r="A29" s="1309" t="s">
        <v>688</v>
      </c>
      <c r="B29" s="1310">
        <v>76</v>
      </c>
      <c r="C29" s="332"/>
      <c r="D29" s="332"/>
      <c r="E29" s="332"/>
      <c r="F29" s="332"/>
    </row>
    <row r="30" spans="1:6">
      <c r="A30" s="1302" t="s">
        <v>689</v>
      </c>
      <c r="B30" s="1311">
        <v>37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2398.6113225900999</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2368</v>
      </c>
      <c r="D39" s="1308">
        <v>41781527.679338403</v>
      </c>
      <c r="E39" s="1308">
        <v>3812</v>
      </c>
      <c r="F39" s="1308">
        <v>13774593.470888801</v>
      </c>
    </row>
    <row r="40" spans="1:6">
      <c r="A40" s="1307" t="s">
        <v>29</v>
      </c>
      <c r="B40" s="1307" t="s">
        <v>28</v>
      </c>
      <c r="C40" s="1308">
        <v>0</v>
      </c>
      <c r="D40" s="1308">
        <v>0</v>
      </c>
      <c r="E40" s="1308">
        <v>0</v>
      </c>
      <c r="F40" s="1308">
        <v>0</v>
      </c>
    </row>
    <row r="41" spans="1:6">
      <c r="A41" s="1307" t="s">
        <v>31</v>
      </c>
      <c r="B41" s="1307" t="s">
        <v>32</v>
      </c>
      <c r="C41" s="1308">
        <v>24</v>
      </c>
      <c r="D41" s="1308">
        <v>671260.01966849505</v>
      </c>
      <c r="E41" s="1308">
        <v>61</v>
      </c>
      <c r="F41" s="1308">
        <v>452724.56795793399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7</v>
      </c>
      <c r="F44" s="1308">
        <v>112451.223538333</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4</v>
      </c>
      <c r="F47" s="1308">
        <v>11118.267268261699</v>
      </c>
    </row>
    <row r="48" spans="1:6">
      <c r="A48" s="1307" t="s">
        <v>31</v>
      </c>
      <c r="B48" s="1307" t="s">
        <v>28</v>
      </c>
      <c r="C48" s="1308">
        <v>5</v>
      </c>
      <c r="D48" s="1308">
        <v>190765.45688913701</v>
      </c>
      <c r="E48" s="1308">
        <v>1</v>
      </c>
      <c r="F48" s="1308">
        <v>8816</v>
      </c>
    </row>
    <row r="49" spans="1:6">
      <c r="A49" s="1307" t="s">
        <v>31</v>
      </c>
      <c r="B49" s="1307" t="s">
        <v>39</v>
      </c>
      <c r="C49" s="1308">
        <v>0</v>
      </c>
      <c r="D49" s="1308">
        <v>0</v>
      </c>
      <c r="E49" s="1308">
        <v>0</v>
      </c>
      <c r="F49" s="1308">
        <v>0</v>
      </c>
    </row>
    <row r="50" spans="1:6">
      <c r="A50" s="1307" t="s">
        <v>31</v>
      </c>
      <c r="B50" s="1307" t="s">
        <v>40</v>
      </c>
      <c r="C50" s="1308">
        <v>0</v>
      </c>
      <c r="D50" s="1308">
        <v>0</v>
      </c>
      <c r="E50" s="1308">
        <v>3</v>
      </c>
      <c r="F50" s="1308">
        <v>201121.93529683401</v>
      </c>
    </row>
    <row r="51" spans="1:6">
      <c r="A51" s="1307" t="s">
        <v>41</v>
      </c>
      <c r="B51" s="1307" t="s">
        <v>42</v>
      </c>
      <c r="C51" s="1308">
        <v>11</v>
      </c>
      <c r="D51" s="1308">
        <v>289624.69458614202</v>
      </c>
      <c r="E51" s="1308">
        <v>36</v>
      </c>
      <c r="F51" s="1308">
        <v>266855.266428289</v>
      </c>
    </row>
    <row r="52" spans="1:6">
      <c r="A52" s="1307" t="s">
        <v>41</v>
      </c>
      <c r="B52" s="1307" t="s">
        <v>28</v>
      </c>
      <c r="C52" s="1308">
        <v>0</v>
      </c>
      <c r="D52" s="1308">
        <v>0</v>
      </c>
      <c r="E52" s="1308">
        <v>0</v>
      </c>
      <c r="F52" s="1308">
        <v>0</v>
      </c>
    </row>
    <row r="53" spans="1:6">
      <c r="A53" s="1307" t="s">
        <v>43</v>
      </c>
      <c r="B53" s="1307" t="s">
        <v>44</v>
      </c>
      <c r="C53" s="1308">
        <v>52</v>
      </c>
      <c r="D53" s="1308">
        <v>900951.48104457802</v>
      </c>
      <c r="E53" s="1308">
        <v>117</v>
      </c>
      <c r="F53" s="1308">
        <v>391384.24653424002</v>
      </c>
    </row>
    <row r="54" spans="1:6">
      <c r="A54" s="1307" t="s">
        <v>45</v>
      </c>
      <c r="B54" s="1307" t="s">
        <v>46</v>
      </c>
      <c r="C54" s="1308">
        <v>0</v>
      </c>
      <c r="D54" s="1308">
        <v>0</v>
      </c>
      <c r="E54" s="1308">
        <v>1</v>
      </c>
      <c r="F54" s="1308">
        <v>530471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26</v>
      </c>
      <c r="D57" s="1308">
        <v>746865.17437917995</v>
      </c>
      <c r="E57" s="1308">
        <v>45</v>
      </c>
      <c r="F57" s="1308">
        <v>3012066.9036224</v>
      </c>
    </row>
    <row r="58" spans="1:6">
      <c r="A58" s="1307" t="s">
        <v>48</v>
      </c>
      <c r="B58" s="1307" t="s">
        <v>50</v>
      </c>
      <c r="C58" s="1308">
        <v>14</v>
      </c>
      <c r="D58" s="1308">
        <v>1288123.98490414</v>
      </c>
      <c r="E58" s="1308">
        <v>16</v>
      </c>
      <c r="F58" s="1308">
        <v>793912.28796902404</v>
      </c>
    </row>
    <row r="59" spans="1:6">
      <c r="A59" s="1307" t="s">
        <v>48</v>
      </c>
      <c r="B59" s="1307" t="s">
        <v>51</v>
      </c>
      <c r="C59" s="1308">
        <v>36</v>
      </c>
      <c r="D59" s="1308">
        <v>1179693.8933355401</v>
      </c>
      <c r="E59" s="1308">
        <v>81</v>
      </c>
      <c r="F59" s="1308">
        <v>1454522.56794734</v>
      </c>
    </row>
    <row r="60" spans="1:6">
      <c r="A60" s="1307" t="s">
        <v>48</v>
      </c>
      <c r="B60" s="1307" t="s">
        <v>52</v>
      </c>
      <c r="C60" s="1308">
        <v>24</v>
      </c>
      <c r="D60" s="1308">
        <v>865721.02958251804</v>
      </c>
      <c r="E60" s="1308">
        <v>29</v>
      </c>
      <c r="F60" s="1308">
        <v>480949.27591316</v>
      </c>
    </row>
    <row r="61" spans="1:6">
      <c r="A61" s="1307" t="s">
        <v>48</v>
      </c>
      <c r="B61" s="1307" t="s">
        <v>53</v>
      </c>
      <c r="C61" s="1308">
        <v>102</v>
      </c>
      <c r="D61" s="1308">
        <v>4136730.4736502101</v>
      </c>
      <c r="E61" s="1308">
        <v>195</v>
      </c>
      <c r="F61" s="1308">
        <v>2865430.0447064298</v>
      </c>
    </row>
    <row r="62" spans="1:6">
      <c r="A62" s="1307" t="s">
        <v>48</v>
      </c>
      <c r="B62" s="1307" t="s">
        <v>54</v>
      </c>
      <c r="C62" s="1308">
        <v>0</v>
      </c>
      <c r="D62" s="1308">
        <v>0</v>
      </c>
      <c r="E62" s="1308">
        <v>5</v>
      </c>
      <c r="F62" s="1308">
        <v>67942.626502659099</v>
      </c>
    </row>
    <row r="63" spans="1:6">
      <c r="A63" s="1307" t="s">
        <v>48</v>
      </c>
      <c r="B63" s="1307" t="s">
        <v>28</v>
      </c>
      <c r="C63" s="1308">
        <v>1</v>
      </c>
      <c r="D63" s="1308">
        <v>13832.3437051212</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57215.169311354402</v>
      </c>
      <c r="E65" s="1308">
        <v>0</v>
      </c>
      <c r="F65" s="1308">
        <v>0</v>
      </c>
    </row>
    <row r="66" spans="1:6">
      <c r="A66" s="1307" t="s">
        <v>55</v>
      </c>
      <c r="B66" s="1307" t="s">
        <v>57</v>
      </c>
      <c r="C66" s="1308">
        <v>0</v>
      </c>
      <c r="D66" s="1308">
        <v>0</v>
      </c>
      <c r="E66" s="1308">
        <v>6</v>
      </c>
      <c r="F66" s="1308">
        <v>371835.20921546</v>
      </c>
    </row>
    <row r="67" spans="1:6">
      <c r="A67" s="1309" t="s">
        <v>55</v>
      </c>
      <c r="B67" s="1309" t="s">
        <v>58</v>
      </c>
      <c r="C67" s="1308">
        <v>0</v>
      </c>
      <c r="D67" s="1308">
        <v>0</v>
      </c>
      <c r="E67" s="1308">
        <v>0</v>
      </c>
      <c r="F67" s="1308">
        <v>0</v>
      </c>
    </row>
    <row r="68" spans="1:6">
      <c r="A68" s="1302" t="s">
        <v>55</v>
      </c>
      <c r="B68" s="1302" t="s">
        <v>59</v>
      </c>
      <c r="C68" s="1311">
        <v>0</v>
      </c>
      <c r="D68" s="1311">
        <v>0</v>
      </c>
      <c r="E68" s="1311">
        <v>10</v>
      </c>
      <c r="F68" s="1311">
        <v>116227.56686633101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41998002</v>
      </c>
      <c r="E73" s="447"/>
      <c r="F73" s="326"/>
    </row>
    <row r="74" spans="1:6">
      <c r="A74" s="1307" t="s">
        <v>63</v>
      </c>
      <c r="B74" s="1307" t="s">
        <v>639</v>
      </c>
      <c r="C74" s="1321" t="s">
        <v>641</v>
      </c>
      <c r="D74" s="1322">
        <v>575713.73938311299</v>
      </c>
      <c r="E74" s="447"/>
      <c r="F74" s="326"/>
    </row>
    <row r="75" spans="1:6">
      <c r="A75" s="1307" t="s">
        <v>64</v>
      </c>
      <c r="B75" s="1307" t="s">
        <v>638</v>
      </c>
      <c r="C75" s="1321" t="s">
        <v>642</v>
      </c>
      <c r="D75" s="1322">
        <v>32194132</v>
      </c>
      <c r="E75" s="447"/>
      <c r="F75" s="326"/>
    </row>
    <row r="76" spans="1:6">
      <c r="A76" s="1307" t="s">
        <v>64</v>
      </c>
      <c r="B76" s="1307" t="s">
        <v>639</v>
      </c>
      <c r="C76" s="1321" t="s">
        <v>643</v>
      </c>
      <c r="D76" s="1322">
        <v>398891.73938311299</v>
      </c>
      <c r="E76" s="447"/>
      <c r="F76" s="326"/>
    </row>
    <row r="77" spans="1:6">
      <c r="A77" s="1307" t="s">
        <v>65</v>
      </c>
      <c r="B77" s="1307" t="s">
        <v>638</v>
      </c>
      <c r="C77" s="1321" t="s">
        <v>644</v>
      </c>
      <c r="D77" s="1322">
        <v>176371048</v>
      </c>
      <c r="E77" s="447"/>
      <c r="F77" s="326"/>
    </row>
    <row r="78" spans="1:6">
      <c r="A78" s="1302" t="s">
        <v>65</v>
      </c>
      <c r="B78" s="1302" t="s">
        <v>639</v>
      </c>
      <c r="C78" s="1302" t="s">
        <v>645</v>
      </c>
      <c r="D78" s="1323">
        <v>16750503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887528.52123377402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2786.0652841614351</v>
      </c>
      <c r="C91" s="326"/>
      <c r="D91" s="326"/>
      <c r="E91" s="326"/>
      <c r="F91" s="326"/>
    </row>
    <row r="92" spans="1:6">
      <c r="A92" s="1302" t="s">
        <v>68</v>
      </c>
      <c r="B92" s="1303">
        <v>78.818680768122277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1057</v>
      </c>
      <c r="C97" s="326"/>
      <c r="D97" s="326"/>
      <c r="E97" s="326"/>
      <c r="F97" s="326"/>
    </row>
    <row r="98" spans="1:6">
      <c r="A98" s="1307" t="s">
        <v>71</v>
      </c>
      <c r="B98" s="1308">
        <v>0</v>
      </c>
      <c r="C98" s="326"/>
      <c r="D98" s="326"/>
      <c r="E98" s="326"/>
      <c r="F98" s="326"/>
    </row>
    <row r="99" spans="1:6">
      <c r="A99" s="1307" t="s">
        <v>72</v>
      </c>
      <c r="B99" s="1308">
        <v>29</v>
      </c>
      <c r="C99" s="326"/>
      <c r="D99" s="326"/>
      <c r="E99" s="326"/>
      <c r="F99" s="326"/>
    </row>
    <row r="100" spans="1:6">
      <c r="A100" s="1307" t="s">
        <v>73</v>
      </c>
      <c r="B100" s="1308">
        <v>199</v>
      </c>
      <c r="C100" s="326"/>
      <c r="D100" s="326"/>
      <c r="E100" s="326"/>
      <c r="F100" s="326"/>
    </row>
    <row r="101" spans="1:6">
      <c r="A101" s="1307" t="s">
        <v>74</v>
      </c>
      <c r="B101" s="1308">
        <v>23</v>
      </c>
      <c r="C101" s="326"/>
      <c r="D101" s="326"/>
      <c r="E101" s="326"/>
      <c r="F101" s="326"/>
    </row>
    <row r="102" spans="1:6">
      <c r="A102" s="1307" t="s">
        <v>75</v>
      </c>
      <c r="B102" s="1308">
        <v>35</v>
      </c>
      <c r="C102" s="326"/>
      <c r="D102" s="326"/>
      <c r="E102" s="326"/>
      <c r="F102" s="326"/>
    </row>
    <row r="103" spans="1:6">
      <c r="A103" s="1307" t="s">
        <v>76</v>
      </c>
      <c r="B103" s="1308">
        <v>76</v>
      </c>
      <c r="C103" s="326"/>
      <c r="D103" s="326"/>
      <c r="E103" s="326"/>
      <c r="F103" s="326"/>
    </row>
    <row r="104" spans="1:6">
      <c r="A104" s="1307" t="s">
        <v>77</v>
      </c>
      <c r="B104" s="1308">
        <v>1854</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20</v>
      </c>
      <c r="C123" s="1308">
        <v>19</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97</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27673.219550046641</v>
      </c>
      <c r="C3" s="43" t="s">
        <v>169</v>
      </c>
      <c r="D3" s="43"/>
      <c r="E3" s="154"/>
      <c r="F3" s="43"/>
      <c r="G3" s="43"/>
      <c r="H3" s="43"/>
      <c r="I3" s="43"/>
      <c r="J3" s="43"/>
      <c r="K3" s="96"/>
    </row>
    <row r="4" spans="1:11">
      <c r="A4" s="354" t="s">
        <v>170</v>
      </c>
      <c r="B4" s="49">
        <f>IF(ISERROR('SEAP template'!B78+'SEAP template'!C78),0,'SEAP template'!B78+'SEAP template'!C78)</f>
        <v>2864.8839649295574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0.1981208639058275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530.471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530.471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0.1981208639058275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105.09737279698822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13774.593470888802</v>
      </c>
      <c r="C5" s="17">
        <f>IF(ISERROR('Eigen informatie GS &amp; warmtenet'!B59),0,'Eigen informatie GS &amp; warmtenet'!B59)</f>
        <v>0</v>
      </c>
      <c r="D5" s="30">
        <f>(SUM(HH_hh_gas_kWh,HH_rest_gas_kWh)/1000)*0.903</f>
        <v>37728.719494442579</v>
      </c>
      <c r="E5" s="17">
        <f>B32*B41</f>
        <v>1008.163536914731</v>
      </c>
      <c r="F5" s="17">
        <f>B36*B45</f>
        <v>22899.306208379654</v>
      </c>
      <c r="G5" s="18"/>
      <c r="H5" s="17"/>
      <c r="I5" s="17"/>
      <c r="J5" s="17">
        <f>B35*B44+C35*C44</f>
        <v>114.56136540397675</v>
      </c>
      <c r="K5" s="17"/>
      <c r="L5" s="17"/>
      <c r="M5" s="17"/>
      <c r="N5" s="17">
        <f>B34*B43+C34*C43</f>
        <v>5362.1202050263055</v>
      </c>
      <c r="O5" s="17">
        <f>B52*B53*B54</f>
        <v>230.13915344889568</v>
      </c>
      <c r="P5" s="17">
        <f>B60*B61*B62/1000-B60*B61*B62/1000/B63</f>
        <v>284.41690130749561</v>
      </c>
    </row>
    <row r="6" spans="1:16">
      <c r="A6" s="16" t="s">
        <v>604</v>
      </c>
      <c r="B6" s="779">
        <f>kWh_PV_kleiner_dan_10kW</f>
        <v>2786.0652841614351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16560.658755050237</v>
      </c>
      <c r="C8" s="21">
        <f>C5</f>
        <v>0</v>
      </c>
      <c r="D8" s="21">
        <f>D5</f>
        <v>37728.719494442579</v>
      </c>
      <c r="E8" s="21">
        <f>E5</f>
        <v>1008.163536914731</v>
      </c>
      <c r="F8" s="21">
        <f>F5</f>
        <v>22899.306208379654</v>
      </c>
      <c r="G8" s="21"/>
      <c r="H8" s="21"/>
      <c r="I8" s="21"/>
      <c r="J8" s="21">
        <f>J5</f>
        <v>114.56136540397675</v>
      </c>
      <c r="K8" s="21"/>
      <c r="L8" s="21">
        <f>L5</f>
        <v>0</v>
      </c>
      <c r="M8" s="21">
        <f>M5</f>
        <v>0</v>
      </c>
      <c r="N8" s="21">
        <f>N5</f>
        <v>5362.1202050263055</v>
      </c>
      <c r="O8" s="21">
        <f>O5</f>
        <v>230.13915344889568</v>
      </c>
      <c r="P8" s="21">
        <f>P5</f>
        <v>284.41690130749561</v>
      </c>
    </row>
    <row r="9" spans="1:16">
      <c r="B9" s="19"/>
      <c r="C9" s="19"/>
      <c r="D9" s="254"/>
      <c r="E9" s="19"/>
      <c r="F9" s="19"/>
      <c r="G9" s="19"/>
      <c r="H9" s="19"/>
      <c r="I9" s="19"/>
      <c r="J9" s="19"/>
      <c r="K9" s="19"/>
      <c r="L9" s="19"/>
      <c r="M9" s="19"/>
      <c r="N9" s="19"/>
      <c r="O9" s="19"/>
      <c r="P9" s="19"/>
    </row>
    <row r="10" spans="1:16">
      <c r="A10" s="24" t="s">
        <v>213</v>
      </c>
      <c r="B10" s="25">
        <f ca="1">'EF ele_warmte'!B12</f>
        <v>0.1981208639058275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3281.0120194001588</v>
      </c>
      <c r="C12" s="23">
        <f ca="1">C10*C8</f>
        <v>0</v>
      </c>
      <c r="D12" s="23">
        <f>D8*D10</f>
        <v>7621.2013378774018</v>
      </c>
      <c r="E12" s="23">
        <f>E10*E8</f>
        <v>228.85312287964396</v>
      </c>
      <c r="F12" s="23">
        <f>F10*F8</f>
        <v>6114.1147576373678</v>
      </c>
      <c r="G12" s="23"/>
      <c r="H12" s="23"/>
      <c r="I12" s="23"/>
      <c r="J12" s="23">
        <f>J10*J8</f>
        <v>40.554723353007766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3900</v>
      </c>
      <c r="C26" s="36"/>
      <c r="D26" s="225"/>
    </row>
    <row r="27" spans="1:5" s="15" customFormat="1">
      <c r="A27" s="227" t="s">
        <v>817</v>
      </c>
      <c r="B27" s="37">
        <f>SUM(HH_hh_gas_aantal,HH_rest_gas_aantal)</f>
        <v>2368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2249.6</v>
      </c>
      <c r="C31" s="34" t="s">
        <v>110</v>
      </c>
      <c r="D31" s="171"/>
    </row>
    <row r="32" spans="1:5">
      <c r="A32" s="168" t="s">
        <v>72</v>
      </c>
      <c r="B32" s="33">
        <f>IF((B21*($B$26-($B$27-0.05*$B$27)-$B$60))&lt;0,0,B21*($B$26-($B$27-0.05*$B$27)-$B$60))</f>
        <v>24.986332227323405</v>
      </c>
      <c r="C32" s="34" t="s">
        <v>110</v>
      </c>
      <c r="D32" s="171"/>
    </row>
    <row r="33" spans="1:6">
      <c r="A33" s="168" t="s">
        <v>73</v>
      </c>
      <c r="B33" s="33">
        <f>IF((B22*($B$26-($B$27-0.05*$B$27)-$B$60))&lt;0,0,B22*($B$26-($B$27-0.05*$B$27)-$B$60))</f>
        <v>405.72854939760339</v>
      </c>
      <c r="C33" s="34" t="s">
        <v>110</v>
      </c>
      <c r="D33" s="171"/>
    </row>
    <row r="34" spans="1:6">
      <c r="A34" s="168" t="s">
        <v>74</v>
      </c>
      <c r="B34" s="33">
        <f>IF((B24*($B$26-($B$27-0.05*$B$27)-$B$60))&lt;0,0,B24*($B$26-($B$27-0.05*$B$27)-$B$60))</f>
        <v>77.716559803406597</v>
      </c>
      <c r="C34" s="33">
        <f>B26*C24</f>
        <v>798.6182105137176</v>
      </c>
      <c r="D34" s="230"/>
    </row>
    <row r="35" spans="1:6">
      <c r="A35" s="168" t="s">
        <v>76</v>
      </c>
      <c r="B35" s="33">
        <f>IF((B19*($B$26-($B$27-0.05*$B$27)-$B$60))&lt;0,0,B19*($B$26-($B$27-0.05*$B$27)-$B$60))</f>
        <v>10.861499050170968</v>
      </c>
      <c r="C35" s="33">
        <f>B35/2</f>
        <v>5.430749525085484</v>
      </c>
      <c r="D35" s="230"/>
    </row>
    <row r="36" spans="1:6">
      <c r="A36" s="168" t="s">
        <v>77</v>
      </c>
      <c r="B36" s="33">
        <f>IF((B18*($B$26-($B$27-0.05*$B$27)-$B$60))&lt;0,0,B18*($B$26-($B$27-0.05*$B$27)-$B$60))</f>
        <v>1104.1070595214953</v>
      </c>
      <c r="C36" s="34" t="s">
        <v>110</v>
      </c>
      <c r="D36" s="171"/>
    </row>
    <row r="37" spans="1:6">
      <c r="A37" s="168" t="s">
        <v>78</v>
      </c>
      <c r="B37" s="33">
        <f>B60</f>
        <v>27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8674.8237066610127</v>
      </c>
      <c r="C5" s="17">
        <f>IF(ISERROR('Eigen informatie GS &amp; warmtenet'!B60),0,'Eigen informatie GS &amp; warmtenet'!B60)</f>
        <v>0</v>
      </c>
      <c r="D5" s="30">
        <f>SUM(D6:D12)</f>
        <v>7432.5631102997086</v>
      </c>
      <c r="E5" s="17">
        <f>SUM(E6:E12)</f>
        <v>48.937787325537037</v>
      </c>
      <c r="F5" s="17">
        <f>SUM(F6:F12)</f>
        <v>2342.696491649222</v>
      </c>
      <c r="G5" s="18"/>
      <c r="H5" s="17"/>
      <c r="I5" s="17"/>
      <c r="J5" s="17">
        <f>SUM(J6:J12)</f>
        <v>2.9746630890752541E-2</v>
      </c>
      <c r="K5" s="17"/>
      <c r="L5" s="17"/>
      <c r="M5" s="17"/>
      <c r="N5" s="17">
        <f>SUM(N6:N12)</f>
        <v>1083.2031518796632</v>
      </c>
      <c r="O5" s="17">
        <f>B38*B39*B40</f>
        <v>4.8972607658411542</v>
      </c>
      <c r="P5" s="17">
        <f>B46*B47*B48/1000-B46*B47*B48/1000/B49</f>
        <v>52.539138306495019</v>
      </c>
      <c r="R5" s="32"/>
    </row>
    <row r="6" spans="1:18">
      <c r="A6" s="32" t="s">
        <v>53</v>
      </c>
      <c r="B6" s="37">
        <f>B26</f>
        <v>2865.4300447064297</v>
      </c>
      <c r="C6" s="33"/>
      <c r="D6" s="37">
        <f>IF(ISERROR(TER_kantoor_gas_kWh/1000),0,TER_kantoor_gas_kWh/1000)*0.903</f>
        <v>3735.4676177061397</v>
      </c>
      <c r="E6" s="33">
        <f>$C$26*'E Balans VL '!I12/100/3.6*1000000</f>
        <v>0.68648892853112264</v>
      </c>
      <c r="F6" s="33">
        <f>$C$26*('E Balans VL '!L12+'E Balans VL '!N12)/100/3.6*1000000</f>
        <v>271.72536560201553</v>
      </c>
      <c r="G6" s="34"/>
      <c r="H6" s="33"/>
      <c r="I6" s="33"/>
      <c r="J6" s="33">
        <f>$C$26*('E Balans VL '!D12+'E Balans VL '!E12)/100/3.6*1000000</f>
        <v>0</v>
      </c>
      <c r="K6" s="33"/>
      <c r="L6" s="33"/>
      <c r="M6" s="33"/>
      <c r="N6" s="33">
        <f>$C$26*'E Balans VL '!Y12/100/3.6*1000000</f>
        <v>1.4554902520788249</v>
      </c>
      <c r="O6" s="33"/>
      <c r="P6" s="33"/>
      <c r="R6" s="32"/>
    </row>
    <row r="7" spans="1:18">
      <c r="A7" s="32" t="s">
        <v>52</v>
      </c>
      <c r="B7" s="37">
        <f t="shared" ref="B7:B12" si="0">B27</f>
        <v>480.94927591316002</v>
      </c>
      <c r="C7" s="33"/>
      <c r="D7" s="37">
        <f>IF(ISERROR(TER_horeca_gas_kWh/1000),0,TER_horeca_gas_kWh/1000)*0.903</f>
        <v>781.74608971301382</v>
      </c>
      <c r="E7" s="33">
        <f>$C$27*'E Balans VL '!I9/100/3.6*1000000</f>
        <v>0</v>
      </c>
      <c r="F7" s="33">
        <f>$C$27*('E Balans VL '!L9+'E Balans VL '!N9)/100/3.6*1000000</f>
        <v>39.436710062563186</v>
      </c>
      <c r="G7" s="34"/>
      <c r="H7" s="33"/>
      <c r="I7" s="33"/>
      <c r="J7" s="33">
        <f>$C$27*('E Balans VL '!D9+'E Balans VL '!E9)/100/3.6*1000000</f>
        <v>0</v>
      </c>
      <c r="K7" s="33"/>
      <c r="L7" s="33"/>
      <c r="M7" s="33"/>
      <c r="N7" s="33">
        <f>$C$27*'E Balans VL '!Y9/100/3.6*1000000</f>
        <v>0.14743027619225388</v>
      </c>
      <c r="O7" s="33"/>
      <c r="P7" s="33"/>
      <c r="R7" s="32"/>
    </row>
    <row r="8" spans="1:18">
      <c r="A8" s="6" t="s">
        <v>51</v>
      </c>
      <c r="B8" s="37">
        <f t="shared" si="0"/>
        <v>1454.5225679473399</v>
      </c>
      <c r="C8" s="33"/>
      <c r="D8" s="37">
        <f>IF(ISERROR(TER_handel_gas_kWh/1000),0,TER_handel_gas_kWh/1000)*0.903</f>
        <v>1065.2635856819927</v>
      </c>
      <c r="E8" s="33">
        <f>$C$28*'E Balans VL '!I13/100/3.6*1000000</f>
        <v>5.1118518525129577</v>
      </c>
      <c r="F8" s="33">
        <f>$C$28*('E Balans VL '!L13+'E Balans VL '!N13)/100/3.6*1000000</f>
        <v>133.08620288842536</v>
      </c>
      <c r="G8" s="34"/>
      <c r="H8" s="33"/>
      <c r="I8" s="33"/>
      <c r="J8" s="33">
        <f>$C$28*('E Balans VL '!D13+'E Balans VL '!E13)/100/3.6*1000000</f>
        <v>0</v>
      </c>
      <c r="K8" s="33"/>
      <c r="L8" s="33"/>
      <c r="M8" s="33"/>
      <c r="N8" s="33">
        <f>$C$28*'E Balans VL '!Y13/100/3.6*1000000</f>
        <v>0.52676545457046287</v>
      </c>
      <c r="O8" s="33"/>
      <c r="P8" s="33"/>
      <c r="R8" s="32"/>
    </row>
    <row r="9" spans="1:18">
      <c r="A9" s="32" t="s">
        <v>50</v>
      </c>
      <c r="B9" s="37">
        <f t="shared" si="0"/>
        <v>793.91228796902408</v>
      </c>
      <c r="C9" s="33"/>
      <c r="D9" s="37">
        <f>IF(ISERROR(TER_gezond_gas_kWh/1000),0,TER_gezond_gas_kWh/1000)*0.903</f>
        <v>1163.1759583684384</v>
      </c>
      <c r="E9" s="33">
        <f>$C$29*'E Balans VL '!I10/100/3.6*1000000</f>
        <v>0</v>
      </c>
      <c r="F9" s="33">
        <f>$C$29*('E Balans VL '!L10+'E Balans VL '!N10)/100/3.6*1000000</f>
        <v>97.319067934719726</v>
      </c>
      <c r="G9" s="34"/>
      <c r="H9" s="33"/>
      <c r="I9" s="33"/>
      <c r="J9" s="33">
        <f>$C$29*('E Balans VL '!D10+'E Balans VL '!E10)/100/3.6*1000000</f>
        <v>0</v>
      </c>
      <c r="K9" s="33"/>
      <c r="L9" s="33"/>
      <c r="M9" s="33"/>
      <c r="N9" s="33">
        <f>$C$29*'E Balans VL '!Y10/100/3.6*1000000</f>
        <v>5.8545498821548563</v>
      </c>
      <c r="O9" s="33"/>
      <c r="P9" s="33"/>
      <c r="R9" s="32"/>
    </row>
    <row r="10" spans="1:18">
      <c r="A10" s="32" t="s">
        <v>49</v>
      </c>
      <c r="B10" s="37">
        <f t="shared" si="0"/>
        <v>3012.0669036223999</v>
      </c>
      <c r="C10" s="33"/>
      <c r="D10" s="37">
        <f>IF(ISERROR(TER_ander_gas_kWh/1000),0,TER_ander_gas_kWh/1000)*0.903</f>
        <v>674.41925246439951</v>
      </c>
      <c r="E10" s="33">
        <f>$C$30*'E Balans VL '!I14/100/3.6*1000000</f>
        <v>43.139446544492955</v>
      </c>
      <c r="F10" s="33">
        <f>$C$30*('E Balans VL '!L14+'E Balans VL '!N14)/100/3.6*1000000</f>
        <v>1793.1858430344948</v>
      </c>
      <c r="G10" s="34"/>
      <c r="H10" s="33"/>
      <c r="I10" s="33"/>
      <c r="J10" s="33">
        <f>$C$30*('E Balans VL '!D14+'E Balans VL '!E14)/100/3.6*1000000</f>
        <v>2.9746630890752541E-2</v>
      </c>
      <c r="K10" s="33"/>
      <c r="L10" s="33"/>
      <c r="M10" s="33"/>
      <c r="N10" s="33">
        <f>$C$30*'E Balans VL '!Y14/100/3.6*1000000</f>
        <v>1075.0275973803698</v>
      </c>
      <c r="O10" s="33"/>
      <c r="P10" s="33"/>
      <c r="R10" s="32"/>
    </row>
    <row r="11" spans="1:18">
      <c r="A11" s="32" t="s">
        <v>54</v>
      </c>
      <c r="B11" s="37">
        <f t="shared" si="0"/>
        <v>67.942626502659095</v>
      </c>
      <c r="C11" s="33"/>
      <c r="D11" s="37">
        <f>IF(ISERROR(TER_onderwijs_gas_kWh/1000),0,TER_onderwijs_gas_kWh/1000)*0.903</f>
        <v>0</v>
      </c>
      <c r="E11" s="33">
        <f>$C$31*'E Balans VL '!I11/100/3.6*1000000</f>
        <v>0</v>
      </c>
      <c r="F11" s="33">
        <f>$C$31*('E Balans VL '!L11+'E Balans VL '!N11)/100/3.6*1000000</f>
        <v>7.9433021270031672</v>
      </c>
      <c r="G11" s="34"/>
      <c r="H11" s="33"/>
      <c r="I11" s="33"/>
      <c r="J11" s="33">
        <f>$C$31*('E Balans VL '!D11+'E Balans VL '!E11)/100/3.6*1000000</f>
        <v>0</v>
      </c>
      <c r="K11" s="33"/>
      <c r="L11" s="33"/>
      <c r="M11" s="33"/>
      <c r="N11" s="33">
        <f>$C$31*'E Balans VL '!Y11/100/3.6*1000000</f>
        <v>0.19131863429698087</v>
      </c>
      <c r="O11" s="33"/>
      <c r="P11" s="33"/>
      <c r="R11" s="32"/>
    </row>
    <row r="12" spans="1:18">
      <c r="A12" s="32" t="s">
        <v>255</v>
      </c>
      <c r="B12" s="37">
        <f t="shared" si="0"/>
        <v>0</v>
      </c>
      <c r="C12" s="33"/>
      <c r="D12" s="37">
        <f>IF(ISERROR(TER_rest_gas_kWh/1000),0,TER_rest_gas_kWh/1000)*0.903</f>
        <v>12.490606365724444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8674.8237066610127</v>
      </c>
      <c r="C16" s="21">
        <f t="shared" ca="1" si="1"/>
        <v>0</v>
      </c>
      <c r="D16" s="21">
        <f t="shared" ca="1" si="1"/>
        <v>7432.5631102997086</v>
      </c>
      <c r="E16" s="21">
        <f t="shared" si="1"/>
        <v>48.937787325537037</v>
      </c>
      <c r="F16" s="21">
        <f t="shared" ca="1" si="1"/>
        <v>2342.696491649222</v>
      </c>
      <c r="G16" s="21">
        <f t="shared" si="1"/>
        <v>0</v>
      </c>
      <c r="H16" s="21">
        <f t="shared" si="1"/>
        <v>0</v>
      </c>
      <c r="I16" s="21">
        <f t="shared" si="1"/>
        <v>0</v>
      </c>
      <c r="J16" s="21">
        <f t="shared" si="1"/>
        <v>2.9746630890752541E-2</v>
      </c>
      <c r="K16" s="21">
        <f t="shared" si="1"/>
        <v>0</v>
      </c>
      <c r="L16" s="21">
        <f t="shared" ca="1" si="1"/>
        <v>0</v>
      </c>
      <c r="M16" s="21">
        <f t="shared" si="1"/>
        <v>0</v>
      </c>
      <c r="N16" s="21">
        <f t="shared" ca="1" si="1"/>
        <v>1083.2031518796632</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0.1981208639058275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1718.6635669944326</v>
      </c>
      <c r="C20" s="23">
        <f t="shared" ref="C20:P20" ca="1" si="2">C16*C18</f>
        <v>0</v>
      </c>
      <c r="D20" s="23">
        <f t="shared" ca="1" si="2"/>
        <v>1501.3777482805413</v>
      </c>
      <c r="E20" s="23">
        <f t="shared" si="2"/>
        <v>11.108877722896908</v>
      </c>
      <c r="F20" s="23">
        <f t="shared" ca="1" si="2"/>
        <v>625.49996327034228</v>
      </c>
      <c r="G20" s="23">
        <f t="shared" si="2"/>
        <v>0</v>
      </c>
      <c r="H20" s="23">
        <f t="shared" si="2"/>
        <v>0</v>
      </c>
      <c r="I20" s="23">
        <f t="shared" si="2"/>
        <v>0</v>
      </c>
      <c r="J20" s="23">
        <f t="shared" si="2"/>
        <v>1.0530307335326399E-2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2865.4300447064297</v>
      </c>
      <c r="C26" s="39">
        <f>IF(ISERROR(B26*3.6/1000000/'E Balans VL '!Z12*100),0,B26*3.6/1000000/'E Balans VL '!Z12*100)</f>
        <v>8.0812715303663685E-2</v>
      </c>
      <c r="D26" s="233" t="s">
        <v>691</v>
      </c>
      <c r="F26" s="6"/>
    </row>
    <row r="27" spans="1:18">
      <c r="A27" s="228" t="s">
        <v>52</v>
      </c>
      <c r="B27" s="33">
        <f>IF(ISERROR(TER_horeca_ele_kWh/1000),0,TER_horeca_ele_kWh/1000)</f>
        <v>480.94927591316002</v>
      </c>
      <c r="C27" s="39">
        <f>IF(ISERROR(B27*3.6/1000000/'E Balans VL '!Z9*100),0,B27*3.6/1000000/'E Balans VL '!Z9*100)</f>
        <v>3.5656480502342075E-2</v>
      </c>
      <c r="D27" s="233" t="s">
        <v>691</v>
      </c>
      <c r="F27" s="6"/>
    </row>
    <row r="28" spans="1:18">
      <c r="A28" s="168" t="s">
        <v>51</v>
      </c>
      <c r="B28" s="33">
        <f>IF(ISERROR(TER_handel_ele_kWh/1000),0,TER_handel_ele_kWh/1000)</f>
        <v>1454.5225679473399</v>
      </c>
      <c r="C28" s="39">
        <f>IF(ISERROR(B28*3.6/1000000/'E Balans VL '!Z13*100),0,B28*3.6/1000000/'E Balans VL '!Z13*100)</f>
        <v>4.3574037879180232E-2</v>
      </c>
      <c r="D28" s="233" t="s">
        <v>691</v>
      </c>
      <c r="F28" s="6"/>
    </row>
    <row r="29" spans="1:18">
      <c r="A29" s="228" t="s">
        <v>50</v>
      </c>
      <c r="B29" s="33">
        <f>IF(ISERROR(TER_gezond_ele_kWh/1000),0,TER_gezond_ele_kWh/1000)</f>
        <v>793.91228796902408</v>
      </c>
      <c r="C29" s="39">
        <f>IF(ISERROR(B29*3.6/1000000/'E Balans VL '!Z10*100),0,B29*3.6/1000000/'E Balans VL '!Z10*100)</f>
        <v>7.8502358206799391E-2</v>
      </c>
      <c r="D29" s="233" t="s">
        <v>691</v>
      </c>
      <c r="F29" s="6"/>
    </row>
    <row r="30" spans="1:18">
      <c r="A30" s="228" t="s">
        <v>49</v>
      </c>
      <c r="B30" s="33">
        <f>IF(ISERROR(TER_ander_ele_kWh/1000),0,TER_ander_ele_kWh/1000)</f>
        <v>3012.0669036223999</v>
      </c>
      <c r="C30" s="39">
        <f>IF(ISERROR(B30*3.6/1000000/'E Balans VL '!Z14*100),0,B30*3.6/1000000/'E Balans VL '!Z14*100)</f>
        <v>0.12182920501332098</v>
      </c>
      <c r="D30" s="233" t="s">
        <v>691</v>
      </c>
      <c r="F30" s="6"/>
    </row>
    <row r="31" spans="1:18">
      <c r="A31" s="228" t="s">
        <v>54</v>
      </c>
      <c r="B31" s="33">
        <f>IF(ISERROR(TER_onderwijs_ele_kWh/1000),0,TER_onderwijs_ele_kWh/1000)</f>
        <v>67.942626502659095</v>
      </c>
      <c r="C31" s="39">
        <f>IF(ISERROR(B31*3.6/1000000/'E Balans VL '!Z11*100),0,B31*3.6/1000000/'E Balans VL '!Z11*100)</f>
        <v>1.8666810946322047E-2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786.23199406136268</v>
      </c>
      <c r="C5" s="17">
        <f>IF(ISERROR('Eigen informatie GS &amp; warmtenet'!B61),0,'Eigen informatie GS &amp; warmtenet'!B61)</f>
        <v>0</v>
      </c>
      <c r="D5" s="30">
        <f>SUM(D6:D15)</f>
        <v>778.40900533154183</v>
      </c>
      <c r="E5" s="17">
        <f>SUM(E6:E15)</f>
        <v>2.5368396160583684</v>
      </c>
      <c r="F5" s="17">
        <f>SUM(F6:F15)</f>
        <v>288.80575594722399</v>
      </c>
      <c r="G5" s="18"/>
      <c r="H5" s="17"/>
      <c r="I5" s="17"/>
      <c r="J5" s="17">
        <f>SUM(J6:J15)</f>
        <v>0.11800235081225306</v>
      </c>
      <c r="K5" s="17"/>
      <c r="L5" s="17"/>
      <c r="M5" s="17"/>
      <c r="N5" s="17">
        <f>SUM(N6:N15)</f>
        <v>26.979234706345306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112.451223538333</v>
      </c>
      <c r="C8" s="33"/>
      <c r="D8" s="37">
        <f>IF( ISERROR(IND_metaal_Gas_kWH/1000),0,IND_metaal_Gas_kWH/1000)*0.903</f>
        <v>0</v>
      </c>
      <c r="E8" s="33">
        <f>C30*'E Balans VL '!I18/100/3.6*1000000</f>
        <v>0.56699868949394427</v>
      </c>
      <c r="F8" s="33">
        <f>C30*'E Balans VL '!L18/100/3.6*1000000+C30*'E Balans VL '!N18/100/3.6*1000000</f>
        <v>7.6828973807071632</v>
      </c>
      <c r="G8" s="34"/>
      <c r="H8" s="33"/>
      <c r="I8" s="33"/>
      <c r="J8" s="40">
        <f>C30*'E Balans VL '!D18/100/3.6*1000000+C30*'E Balans VL '!E18/100/3.6*1000000</f>
        <v>9.9697601879671499E-2</v>
      </c>
      <c r="K8" s="33"/>
      <c r="L8" s="33"/>
      <c r="M8" s="33"/>
      <c r="N8" s="33">
        <f>C30*'E Balans VL '!Y18/100/3.6*1000000</f>
        <v>1.4944774281693005</v>
      </c>
      <c r="O8" s="33"/>
      <c r="P8" s="33"/>
      <c r="R8" s="32"/>
    </row>
    <row r="9" spans="1:18">
      <c r="A9" s="6" t="s">
        <v>32</v>
      </c>
      <c r="B9" s="37">
        <f t="shared" si="0"/>
        <v>452.72456795793397</v>
      </c>
      <c r="C9" s="33"/>
      <c r="D9" s="37">
        <f>IF( ISERROR(IND_andere_gas_kWh/1000),0,IND_andere_gas_kWh/1000)*0.903</f>
        <v>606.14779776065109</v>
      </c>
      <c r="E9" s="33">
        <f>C31*'E Balans VL '!I19/100/3.6*1000000</f>
        <v>1.4270948366242897</v>
      </c>
      <c r="F9" s="33">
        <f>C31*'E Balans VL '!L19/100/3.6*1000000+C31*'E Balans VL '!N19/100/3.6*1000000</f>
        <v>277.13893949189725</v>
      </c>
      <c r="G9" s="34"/>
      <c r="H9" s="33"/>
      <c r="I9" s="33"/>
      <c r="J9" s="40">
        <f>C31*'E Balans VL '!D19/100/3.6*1000000+C31*'E Balans VL '!E19/100/3.6*1000000</f>
        <v>0</v>
      </c>
      <c r="K9" s="33"/>
      <c r="L9" s="33"/>
      <c r="M9" s="33"/>
      <c r="N9" s="33">
        <f>C31*'E Balans VL '!Y19/100/3.6*1000000</f>
        <v>18.983355853339972</v>
      </c>
      <c r="O9" s="33"/>
      <c r="P9" s="33"/>
      <c r="R9" s="32"/>
    </row>
    <row r="10" spans="1:18">
      <c r="A10" s="6" t="s">
        <v>40</v>
      </c>
      <c r="B10" s="37">
        <f t="shared" si="0"/>
        <v>201.12193529683401</v>
      </c>
      <c r="C10" s="33"/>
      <c r="D10" s="37">
        <f>IF( ISERROR(IND_voed_gas_kWh/1000),0,IND_voed_gas_kWh/1000)*0.903</f>
        <v>0</v>
      </c>
      <c r="E10" s="33">
        <f>C32*'E Balans VL '!I20/100/3.6*1000000</f>
        <v>0.32053188113410347</v>
      </c>
      <c r="F10" s="33">
        <f>C32*'E Balans VL '!L20/100/3.6*1000000+C32*'E Balans VL '!N20/100/3.6*1000000</f>
        <v>3.2677428680100973</v>
      </c>
      <c r="G10" s="34"/>
      <c r="H10" s="33"/>
      <c r="I10" s="33"/>
      <c r="J10" s="40">
        <f>C32*'E Balans VL '!D20/100/3.6*1000000+C32*'E Balans VL '!E20/100/3.6*1000000</f>
        <v>0</v>
      </c>
      <c r="K10" s="33"/>
      <c r="L10" s="33"/>
      <c r="M10" s="33"/>
      <c r="N10" s="33">
        <f>C32*'E Balans VL '!Y20/100/3.6*1000000</f>
        <v>6.3524351944204378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11.1182672682617</v>
      </c>
      <c r="C13" s="33"/>
      <c r="D13" s="37">
        <f>IF( ISERROR(IND_papier_gas_kWh/1000),0,IND_papier_gas_kWh/1000)*0.903</f>
        <v>0</v>
      </c>
      <c r="E13" s="33">
        <f>C35*'E Balans VL '!I23/100/3.6*1000000</f>
        <v>0</v>
      </c>
      <c r="F13" s="33">
        <f>C35*'E Balans VL '!L23/100/3.6*1000000+C35*'E Balans VL '!N23/100/3.6*1000000</f>
        <v>4.8169503666814901E-4</v>
      </c>
      <c r="G13" s="34"/>
      <c r="H13" s="33"/>
      <c r="I13" s="33"/>
      <c r="J13" s="40">
        <f>C35*'E Balans VL '!D23/100/3.6*1000000+C35*'E Balans VL '!E23/100/3.6*1000000</f>
        <v>3.0636128917071011E-4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8.8160000000000007</v>
      </c>
      <c r="C15" s="33"/>
      <c r="D15" s="37">
        <f>IF( ISERROR(IND_rest_gas_kWh/1000),0,IND_rest_gas_kWh/1000)*0.903</f>
        <v>172.26120757089075</v>
      </c>
      <c r="E15" s="33">
        <f>C37*'E Balans VL '!I15/100/3.6*1000000</f>
        <v>0.22221420880603102</v>
      </c>
      <c r="F15" s="33">
        <f>C37*'E Balans VL '!L15/100/3.6*1000000+C37*'E Balans VL '!N15/100/3.6*1000000</f>
        <v>0.71569451157278674</v>
      </c>
      <c r="G15" s="34"/>
      <c r="H15" s="33"/>
      <c r="I15" s="33"/>
      <c r="J15" s="40">
        <f>C37*'E Balans VL '!D15/100/3.6*1000000+C37*'E Balans VL '!E15/100/3.6*1000000</f>
        <v>1.7998387643410853E-2</v>
      </c>
      <c r="K15" s="33"/>
      <c r="L15" s="33"/>
      <c r="M15" s="33"/>
      <c r="N15" s="33">
        <f>C37*'E Balans VL '!Y15/100/3.6*1000000</f>
        <v>0.14896623041559429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786.23199406136268</v>
      </c>
      <c r="C18" s="21">
        <f>C5+C16</f>
        <v>0</v>
      </c>
      <c r="D18" s="21">
        <f>MAX((D5+D16),0)</f>
        <v>778.40900533154183</v>
      </c>
      <c r="E18" s="21">
        <f>MAX((E5+E16),0)</f>
        <v>2.5368396160583684</v>
      </c>
      <c r="F18" s="21">
        <f>MAX((F5+F16),0)</f>
        <v>288.80575594722399</v>
      </c>
      <c r="G18" s="21"/>
      <c r="H18" s="21"/>
      <c r="I18" s="21"/>
      <c r="J18" s="21">
        <f>MAX((J5+J16),0)</f>
        <v>0.11800235081225306</v>
      </c>
      <c r="K18" s="21"/>
      <c r="L18" s="21">
        <f>MAX((L5+L16),0)</f>
        <v>0</v>
      </c>
      <c r="M18" s="21"/>
      <c r="N18" s="21">
        <f>MAX((N5+N16),0)</f>
        <v>26.979234706345306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0.1981208639058275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155.76896189383862</v>
      </c>
      <c r="C22" s="23">
        <f ca="1">C18*C20</f>
        <v>0</v>
      </c>
      <c r="D22" s="23">
        <f>D18*D20</f>
        <v>157.23861907697147</v>
      </c>
      <c r="E22" s="23">
        <f>E18*E20</f>
        <v>0.57586259284524965</v>
      </c>
      <c r="F22" s="23">
        <f>F18*F20</f>
        <v>77.111136837908802</v>
      </c>
      <c r="G22" s="23"/>
      <c r="H22" s="23"/>
      <c r="I22" s="23"/>
      <c r="J22" s="23">
        <f>J18*J20</f>
        <v>4.1772832187537579E-2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112.451223538333</v>
      </c>
      <c r="C30" s="39">
        <f>IF(ISERROR(B30*3.6/1000000/'E Balans VL '!Z18*100),0,B30*3.6/1000000/'E Balans VL '!Z18*100)</f>
        <v>5.5818252996394447E-3</v>
      </c>
      <c r="D30" s="233" t="s">
        <v>691</v>
      </c>
    </row>
    <row r="31" spans="1:18">
      <c r="A31" s="6" t="s">
        <v>32</v>
      </c>
      <c r="B31" s="37">
        <f>IF( ISERROR(IND_ander_ele_kWh/1000),0,IND_ander_ele_kWh/1000)</f>
        <v>452.72456795793397</v>
      </c>
      <c r="C31" s="39">
        <f>IF(ISERROR(B31*3.6/1000000/'E Balans VL '!Z19*100),0,B31*3.6/1000000/'E Balans VL '!Z19*100)</f>
        <v>1.5277134264349932E-2</v>
      </c>
      <c r="D31" s="233" t="s">
        <v>691</v>
      </c>
    </row>
    <row r="32" spans="1:18">
      <c r="A32" s="168" t="s">
        <v>40</v>
      </c>
      <c r="B32" s="37">
        <f>IF( ISERROR(IND_voed_ele_kWh/1000),0,IND_voed_ele_kWh/1000)</f>
        <v>201.12193529683401</v>
      </c>
      <c r="C32" s="39">
        <f>IF(ISERROR(B32*3.6/1000000/'E Balans VL '!Z20*100),0,B32*3.6/1000000/'E Balans VL '!Z20*100)</f>
        <v>4.72321049582391E-3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11.1182672682617</v>
      </c>
      <c r="C35" s="39">
        <f>IF(ISERROR(B35*3.6/1000000/'E Balans VL '!Z22*100),0,B35*3.6/1000000/'E Balans VL '!Z22*100)</f>
        <v>1.5773570110984457E-3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8.8160000000000007</v>
      </c>
      <c r="C37" s="39">
        <f>IF(ISERROR(B37*3.6/1000000/'E Balans VL '!Z15*100),0,B37*3.6/1000000/'E Balans VL '!Z15*100)</f>
        <v>3.3038217450908541E-5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266.85526642828899</v>
      </c>
      <c r="C5" s="17">
        <f>'Eigen informatie GS &amp; warmtenet'!B62</f>
        <v>0</v>
      </c>
      <c r="D5" s="30">
        <f>IF(ISERROR(SUM(LB_lb_gas_kWh,LB_rest_gas_kWh)/1000),0,SUM(LB_lb_gas_kWh,LB_rest_gas_kWh)/1000)*0.903</f>
        <v>261.53109921128623</v>
      </c>
      <c r="E5" s="17">
        <f>B17*'E Balans VL '!I25/3.6*1000000/100</f>
        <v>9.9518491371429256</v>
      </c>
      <c r="F5" s="17">
        <f>B17*('E Balans VL '!L25/3.6*1000000+'E Balans VL '!N25/3.6*1000000)/100</f>
        <v>865.78160122731572</v>
      </c>
      <c r="G5" s="18"/>
      <c r="H5" s="17"/>
      <c r="I5" s="17"/>
      <c r="J5" s="17">
        <f>('E Balans VL '!D25+'E Balans VL '!E25)/3.6*1000000*landbouw!B17/100</f>
        <v>70.050824877094328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266.85526642828899</v>
      </c>
      <c r="C8" s="21">
        <f>C5+C6</f>
        <v>0</v>
      </c>
      <c r="D8" s="21">
        <f>MAX((D5+D6),0)</f>
        <v>261.53109921128623</v>
      </c>
      <c r="E8" s="21">
        <f>MAX((E5+E6),0)</f>
        <v>9.9518491371429256</v>
      </c>
      <c r="F8" s="21">
        <f>MAX((F5+F6),0)</f>
        <v>865.78160122731572</v>
      </c>
      <c r="G8" s="21"/>
      <c r="H8" s="21"/>
      <c r="I8" s="21"/>
      <c r="J8" s="21">
        <f>MAX((J5+J6),0)</f>
        <v>70.050824877094328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0.1981208639058275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52.869595922592381</v>
      </c>
      <c r="C12" s="23">
        <f ca="1">C8*C10</f>
        <v>0</v>
      </c>
      <c r="D12" s="23">
        <f>D8*D10</f>
        <v>52.829282040679821</v>
      </c>
      <c r="E12" s="23">
        <f>E8*E10</f>
        <v>2.2590697541314442</v>
      </c>
      <c r="F12" s="23">
        <f>F8*F10</f>
        <v>231.1636875276933</v>
      </c>
      <c r="G12" s="23"/>
      <c r="H12" s="23"/>
      <c r="I12" s="23"/>
      <c r="J12" s="23">
        <f>J8*J10</f>
        <v>24.797992006491391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3.6651874480209866E-2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86.361690558716532</v>
      </c>
      <c r="C26" s="243">
        <f>B26*'GWP N2O_CH4'!B5</f>
        <v>1813.5955017330471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7.4600676155539292</v>
      </c>
      <c r="C27" s="243">
        <f>B27*'GWP N2O_CH4'!B5</f>
        <v>156.6614199266325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1.4604868944241749</v>
      </c>
      <c r="C28" s="243">
        <f>B28*'GWP N2O_CH4'!B4</f>
        <v>452.75093727149419</v>
      </c>
      <c r="D28" s="50"/>
    </row>
    <row r="29" spans="1:4">
      <c r="A29" s="41" t="s">
        <v>272</v>
      </c>
      <c r="B29" s="243">
        <f>B34*'ha_N2O bodem landbouw'!B4</f>
        <v>11.984048968081598</v>
      </c>
      <c r="C29" s="243">
        <f>B29*'GWP N2O_CH4'!B4</f>
        <v>3715.0551801052957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2.7311989840151638E-3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1.5148983699246087E-3</v>
      </c>
      <c r="C5" s="434" t="s">
        <v>210</v>
      </c>
      <c r="D5" s="419">
        <f>SUM(D6:D11)</f>
        <v>2.3772205188552476E-3</v>
      </c>
      <c r="E5" s="419">
        <f>SUM(E6:E11)</f>
        <v>1.4964957631017693E-3</v>
      </c>
      <c r="F5" s="432" t="s">
        <v>210</v>
      </c>
      <c r="G5" s="419">
        <f>SUM(G6:G11)</f>
        <v>0.57726245231506246</v>
      </c>
      <c r="H5" s="419">
        <f>SUM(H6:H11)</f>
        <v>0.1489652280367994</v>
      </c>
      <c r="I5" s="434" t="s">
        <v>210</v>
      </c>
      <c r="J5" s="434" t="s">
        <v>210</v>
      </c>
      <c r="K5" s="434" t="s">
        <v>210</v>
      </c>
      <c r="L5" s="434" t="s">
        <v>210</v>
      </c>
      <c r="M5" s="419">
        <f>SUM(M6:M11)</f>
        <v>4.2856229245756876E-2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2.0962241749299563E-4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3.6425785242844374E-4</v>
      </c>
      <c r="E6" s="885">
        <f>vkm_GW_PW*SUMIFS(TableVerdeelsleutelVkm[LPG],TableVerdeelsleutelVkm[Voertuigtype],"Lichte voertuigen")*SUMIFS(TableECFTransport[EnergieConsumptieFactor (PJ per km)],TableECFTransport[Index],CONCATENATE($A6,"_LPG_LPG"))</f>
        <v>2.0255112761262981E-4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6.0868539692179861E-2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2.2192873057122125E-2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4.9697696302056487E-3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1.3326736104273544E-7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5.5156026124468498E-3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5.6111144926600435E-8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3.1053693050269598E-4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2.128497886484848E-4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4.7489813511623376E-4</v>
      </c>
      <c r="E8" s="422">
        <f>vkm_NGW_PW*SUMIFS(TableVerdeelsleutelVkm[LPG],TableVerdeelsleutelVkm[Voertuigtype],"Lichte voertuigen")*SUMIFS(TableECFTransport[EnergieConsumptieFactor (PJ per km)],TableECFTransport[Index],CONCATENATE($A8,"_LPG_LPG"))</f>
        <v>2.5292976273554664E-4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6.9949986741336054E-2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2.8579495680889626E-2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5.925052485407218E-3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9.2336252920236156E-8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4.9212873237768099E-3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4.6926052837839493E-8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2.7707584527192813E-4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1.0883231204309018E-3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1.53806453131057E-3</v>
      </c>
      <c r="E10" s="422">
        <f>vkm_SW_PW*SUMIFS(TableVerdeelsleutelVkm[LPG],TableVerdeelsleutelVkm[Voertuigtype],"Lichte voertuigen")*SUMIFS(TableECFTransport[EnergieConsumptieFactor (PJ per km)],TableECFTransport[Index],CONCATENATE($A10,"_LPG_LPG"))</f>
        <v>1.041014872753593E-3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0.28440053901450296</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9.8191075907417311E-2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2.2838105248864069E-2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3.8774397382636113E-6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0.15160649693081993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1.6803541725787442E-6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8.5356891055053206E-3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420.80510275683571</v>
      </c>
      <c r="C14" s="21"/>
      <c r="D14" s="21">
        <f t="shared" ref="D14:M14" si="0">((D5)*10^9/3600)+D12</f>
        <v>660.33903301534656</v>
      </c>
      <c r="E14" s="21">
        <f t="shared" si="0"/>
        <v>415.69326752826925</v>
      </c>
      <c r="F14" s="21"/>
      <c r="G14" s="21">
        <f t="shared" si="0"/>
        <v>160350.68119862844</v>
      </c>
      <c r="H14" s="21">
        <f t="shared" si="0"/>
        <v>41379.230010222054</v>
      </c>
      <c r="I14" s="21"/>
      <c r="J14" s="21"/>
      <c r="K14" s="21"/>
      <c r="L14" s="21"/>
      <c r="M14" s="21">
        <f t="shared" si="0"/>
        <v>11904.508123821355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0.1981208639058275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83.370270494164799</v>
      </c>
      <c r="C18" s="23"/>
      <c r="D18" s="23">
        <f t="shared" ref="D18:M18" si="1">D14*D16</f>
        <v>133.38848466910002</v>
      </c>
      <c r="E18" s="23">
        <f t="shared" si="1"/>
        <v>94.362371728917125</v>
      </c>
      <c r="F18" s="23"/>
      <c r="G18" s="23">
        <f t="shared" si="1"/>
        <v>42813.631880033798</v>
      </c>
      <c r="H18" s="23">
        <f t="shared" si="1"/>
        <v>10303.428272545292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1.5116212279678157E-4</v>
      </c>
      <c r="C50" s="315">
        <f t="shared" ref="C50:P50" si="2">SUM(C51:C52)</f>
        <v>0</v>
      </c>
      <c r="D50" s="315">
        <f t="shared" si="2"/>
        <v>0</v>
      </c>
      <c r="E50" s="315">
        <f t="shared" si="2"/>
        <v>0</v>
      </c>
      <c r="F50" s="315">
        <f t="shared" si="2"/>
        <v>0</v>
      </c>
      <c r="G50" s="315">
        <f t="shared" si="2"/>
        <v>1.0789679815928098E-2</v>
      </c>
      <c r="H50" s="315">
        <f t="shared" si="2"/>
        <v>0</v>
      </c>
      <c r="I50" s="315">
        <f t="shared" si="2"/>
        <v>0</v>
      </c>
      <c r="J50" s="315">
        <f t="shared" si="2"/>
        <v>0</v>
      </c>
      <c r="K50" s="315">
        <f t="shared" si="2"/>
        <v>0</v>
      </c>
      <c r="L50" s="315">
        <f t="shared" si="2"/>
        <v>0</v>
      </c>
      <c r="M50" s="315">
        <f t="shared" si="2"/>
        <v>5.9579094750059384E-4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1.5116212279678157E-4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1.0789679815928098E-2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5.9579094750059384E-4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41.989478554661545</v>
      </c>
      <c r="C54" s="21">
        <f t="shared" ref="C54:P54" si="3">(C50)*10^9/3600</f>
        <v>0</v>
      </c>
      <c r="D54" s="21">
        <f t="shared" si="3"/>
        <v>0</v>
      </c>
      <c r="E54" s="21">
        <f t="shared" si="3"/>
        <v>0</v>
      </c>
      <c r="F54" s="21">
        <f t="shared" si="3"/>
        <v>0</v>
      </c>
      <c r="G54" s="21">
        <f t="shared" si="3"/>
        <v>2997.1332822022496</v>
      </c>
      <c r="H54" s="21">
        <f t="shared" si="3"/>
        <v>0</v>
      </c>
      <c r="I54" s="21">
        <f t="shared" si="3"/>
        <v>0</v>
      </c>
      <c r="J54" s="21">
        <f t="shared" si="3"/>
        <v>0</v>
      </c>
      <c r="K54" s="21">
        <f t="shared" si="3"/>
        <v>0</v>
      </c>
      <c r="L54" s="21">
        <f t="shared" si="3"/>
        <v>0</v>
      </c>
      <c r="M54" s="21">
        <f t="shared" si="3"/>
        <v>165.49748541683164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0.1981208639058275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8.3189917662047623</v>
      </c>
      <c r="C58" s="23">
        <f t="shared" ref="C58:P58" ca="1" si="4">C54*C56</f>
        <v>0</v>
      </c>
      <c r="D58" s="23">
        <f t="shared" si="4"/>
        <v>0</v>
      </c>
      <c r="E58" s="23">
        <f t="shared" si="4"/>
        <v>0</v>
      </c>
      <c r="F58" s="23">
        <f t="shared" si="4"/>
        <v>0</v>
      </c>
      <c r="G58" s="23">
        <f t="shared" si="4"/>
        <v>800.23458634800068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2864.8839649295574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2864.8839649295574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2021-06-29T14:28:38Z</dcterms:modified>
</cp:coreProperties>
</file>