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P5" i="13"/>
  <c r="P8" i="13" s="1"/>
  <c r="B37" i="13"/>
  <c r="D6" i="17"/>
  <c r="D8" i="17" s="1"/>
  <c r="D12" i="17" s="1"/>
  <c r="E54" i="14" s="1"/>
  <c r="D16" i="16"/>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<sst xmlns="http://schemas.openxmlformats.org/spreadsheetml/2006/main" count="2448" uniqueCount="883">
  <si>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</si>
  <si>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</si>
  <si>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</si>
  <si>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</si>
  <si>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</si>
  <si>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</si>
  <si>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</si>
  <si>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</si>
  <si>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</si>
  <si>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</si>
  <si>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</si>
  <si>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</si>
  <si>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</si>
  <si>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</si>
  <si>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</si>
  <si>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</si>
  <si>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</si>
  <si>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</si>
  <si>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</si>
  <si>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</si>
  <si>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</si>
  <si>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</si>
  <si>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</si>
  <si>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</si>
  <si>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</si>
  <si>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</si>
  <si>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</si>
  <si>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</si>
  <si>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</si>
  <si>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</si>
  <si>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</si>
  <si>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</si>
  <si>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</si>
  <si>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</si>
  <si>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</si>
  <si>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</si>
  <si>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</si>
  <si>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</si>
  <si>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</si>
  <si>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</si>
  <si>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</si>
  <si>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</si>
  <si>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</si>
  <si>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</si>
  <si>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</si>
  <si>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</si>
  <si>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</si>
  <si>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</si>
  <si>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</si>
  <si>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</si>
  <si>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</si>
  <si>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</si>
  <si>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</si>
  <si>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</si>
  <si>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</si>
  <si>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</si>
  <si>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</si>
  <si>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</si>
  <si>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</si>
  <si>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</si>
  <si>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</si>
  <si>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</si>
  <si>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</si>
  <si>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</si>
  <si>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</si>
  <si>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</si>
  <si>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</si>
  <si>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</si>
  <si>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</si>
  <si>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</si>
  <si>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</si>
  <si>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</si>
  <si>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</si>
  <si>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</si>
  <si>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</si>
  <si>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</si>
  <si>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</si>
  <si>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</si>
  <si>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</si>
  <si>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</si>
  <si>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</si>
  <si>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</si>
  <si>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</si>
  <si>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</si>
  <si>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</si>
  <si>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</si>
  <si>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</si>
  <si>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</si>
  <si>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</si>
  <si>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</si>
  <si>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</si>
  <si>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</si>
  <si>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</si>
  <si>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</si>
  <si>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</si>
  <si>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</si>
  <si>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</si>
  <si>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</si>
  <si>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</si>
  <si>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</si>
  <si>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</si>
  <si>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</si>
  <si>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</si>
  <si>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</si>
  <si>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</si>
  <si>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</si>
  <si>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</si>
  <si>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</si>
  <si>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</si>
  <si>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</si>
  <si>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</si>
  <si>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</si>
  <si>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</si>
  <si>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</si>
  <si>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</si>
  <si>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</si>
  <si>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</si>
  <si>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</si>
  <si>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</si>
  <si>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</si>
  <si>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</si>
  <si>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</si>
  <si>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</si>
  <si>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</si>
  <si>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</si>
  <si>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</si>
  <si>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</si>
  <si>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</si>
  <si>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</si>
  <si>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</si>
  <si>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</si>
  <si>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</si>
  <si>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</si>
  <si>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</si>
  <si>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</si>
  <si>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</si>
  <si>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</si>
  <si>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</si>
  <si>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</si>
  <si>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</si>
  <si>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</si>
  <si>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</si>
  <si>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</si>
  <si>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</si>
  <si>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</si>
  <si>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</si>
  <si>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</si>
  <si>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</si>
  <si>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</si>
  <si>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</si>
  <si>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</si>
  <si>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</si>
  <si>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</si>
  <si>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</si>
  <si>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</si>
  <si>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</si>
  <si>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</si>
  <si>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</si>
  <si>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</si>
  <si>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</si>
  <si>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</si>
  <si>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</si>
  <si>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</si>
  <si>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</si>
  <si>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</si>
  <si>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</si>
  <si>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</si>
  <si>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</si>
  <si>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</si>
  <si>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</si>
  <si>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</si>
  <si>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</si>
  <si>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</si>
  <si>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</si>
  <si>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</si>
  <si>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</si>
  <si>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</si>
  <si>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</si>
  <si>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</si>
  <si>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</si>
  <si>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</si>
  <si>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</si>
  <si>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</si>
  <si>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</si>
  <si>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</si>
  <si>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</si>
  <si>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</si>
  <si>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</si>
  <si>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</si>
  <si>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</si>
  <si>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</si>
  <si>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</si>
  <si>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</si>
  <si>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</si>
  <si>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</si>
  <si>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</si>
  <si>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</si>
  <si>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</si>
  <si>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</si>
  <si>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</si>
  <si>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</si>
  <si>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</si>
  <si>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</si>
  <si>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</si>
  <si>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</si>
  <si>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</si>
  <si>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</si>
  <si>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</si>
  <si>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</si>
  <si>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</si>
  <si>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</si>
  <si>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</si>
  <si>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</si>
  <si>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</si>
  <si>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</si>
  <si>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</si>
  <si>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</si>
  <si>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</si>
  <si>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</si>
  <si>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</si>
  <si>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</si>
  <si>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</si>
  <si>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</si>
  <si>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</si>
  <si>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</si>
  <si>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</si>
  <si>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</si>
  <si>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</si>
  <si>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</si>
  <si>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</si>
  <si>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</si>
  <si>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</si>
  <si>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</si>
  <si>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</si>
  <si>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</si>
  <si>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</si>
  <si>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</si>
  <si>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</si>
  <si>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</si>
  <si>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</si>
  <si>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</si>
  <si>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</si>
  <si>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</si>
  <si>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</si>
  <si>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</si>
  <si>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</si>
  <si>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</si>
  <si>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</si>
  <si>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</si>
  <si>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</si>
  <si>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</si>
  <si>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</si>
  <si>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</si>
  <si>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</si>
  <si>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</si>
  <si>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</si>
  <si>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</si>
  <si>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</si>
  <si>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</si>
  <si>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</si>
  <si>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</si>
  <si>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</si>
  <si>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</si>
  <si>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</si>
  <si>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</si>
  <si>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</si>
  <si>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</si>
  <si>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</si>
  <si>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</si>
  <si>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</si>
  <si>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</si>
  <si>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</si>
  <si>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</si>
  <si>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</si>
  <si>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</si>
  <si>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</si>
  <si>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</si>
  <si>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</si>
  <si>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</si>
  <si>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</si>
  <si>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</si>
  <si>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</si>
  <si>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</si>
  <si>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</si>
  <si>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</si>
  <si>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</si>
  <si>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</si>
  <si>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</si>
  <si>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</si>
  <si>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</si>
  <si>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</si>
  <si>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</si>
  <si>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</si>
  <si>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</si>
  <si>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</si>
  <si>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</si>
  <si>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</si>
  <si>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</si>
  <si>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</si>
  <si>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</si>
  <si>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</si>
  <si>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</si>
  <si>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</si>
  <si>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</si>
  <si>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</si>
  <si>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</si>
  <si>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</si>
  <si>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</si>
  <si>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</si>
  <si>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</si>
  <si>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</si>
  <si>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</si>
  <si>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</si>
  <si>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</si>
  <si>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</si>
  <si>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</si>
  <si>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</si>
  <si>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</si>
  <si>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</si>
  <si>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</si>
  <si>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</si>
  <si>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</si>
  <si>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</si>
  <si>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</si>
  <si>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</si>
  <si>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</si>
  <si>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</si>
  <si>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</si>
  <si>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</si>
  <si>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</si>
  <si>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</si>
  <si>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</si>
  <si>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</si>
  <si>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</si>
  <si>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</si>
  <si>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</si>
  <si>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</si>
  <si>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</si>
  <si>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</si>
  <si>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</si>
  <si>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</si>
  <si>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</si>
  <si>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</si>
  <si>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</si>
  <si>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</si>
  <si>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</si>
  <si>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</si>
  <si>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</si>
  <si>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</si>
  <si>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</si>
  <si>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</si>
  <si>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</si>
  <si>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</si>
  <si>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</si>
  <si>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</si>
  <si>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</si>
  <si>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</si>
  <si>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</si>
  <si>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</si>
  <si>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</si>
  <si>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</si>
  <si>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</si>
  <si>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</si>
  <si>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</si>
  <si>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</si>
  <si>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</si>
  <si>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</si>
  <si>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</si>
  <si>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</si>
  <si>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</si>
  <si>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</si>
  <si>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</si>
  <si>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</si>
  <si>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</si>
  <si>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</si>
  <si>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</si>
  <si>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</si>
  <si>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</si>
  <si>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</si>
  <si>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</si>
  <si>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</si>
  <si>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</si>
  <si>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</si>
  <si>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</si>
  <si>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</si>
  <si>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</si>
  <si>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</si>
  <si>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</si>
  <si>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</si>
  <si>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</si>
  <si>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</si>
  <si>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</si>
  <si>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</si>
  <si>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</si>
  <si>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</si>
  <si>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</si>
  <si>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</si>
  <si>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</si>
  <si>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</si>
  <si>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</si>
  <si>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</si>
  <si>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</si>
  <si>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</si>
  <si>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</si>
  <si>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</si>
  <si>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</si>
  <si>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</si>
  <si>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</si>
  <si>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</si>
  <si>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</si>
  <si>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</si>
  <si>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</si>
  <si>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</si>
  <si>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</si>
  <si>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</si>
  <si>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</si>
  <si>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</si>
  <si>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</si>
  <si>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</si>
  <si>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</si>
  <si>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</si>
  <si>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</si>
  <si>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</si>
  <si>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</si>
  <si>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</si>
  <si>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</si>
  <si>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</si>
  <si>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</si>
  <si>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</si>
  <si>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</si>
  <si>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</si>
  <si>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</si>
  <si>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</si>
  <si>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</si>
  <si>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</si>
  <si>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</si>
  <si>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</si>
  <si>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</si>
  <si>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</si>
  <si>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</si>
  <si>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</si>
  <si>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</si>
  <si>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</si>
  <si>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</si>
  <si>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</si>
  <si>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</si>
  <si>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</si>
  <si>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</si>
  <si>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</si>
  <si>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</si>
  <si>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</si>
  <si>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</si>
  <si>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</si>
  <si>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</si>
  <si>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</si>
  <si>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</si>
  <si>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</si>
  <si>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</si>
  <si>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</si>
  <si>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</si>
  <si>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</si>
  <si>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</si>
  <si>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</si>
  <si>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</si>
  <si>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</si>
  <si>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</si>
  <si>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</si>
  <si>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</si>
  <si>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</si>
  <si>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</si>
  <si>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</si>
  <si>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</si>
  <si>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</si>
  <si>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</si>
  <si>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</si>
  <si>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</si>
  <si>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</si>
  <si>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</si>
  <si>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</si>
  <si>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</si>
  <si>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</si>
  <si>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</si>
  <si>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</si>
  <si>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</si>
  <si>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</si>
  <si>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</si>
  <si>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</si>
  <si>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</si>
  <si>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</si>
  <si>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</si>
  <si>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</si>
  <si>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</si>
  <si>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</si>
  <si>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</si>
  <si>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</si>
  <si>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</si>
  <si>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</si>
  <si>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</si>
  <si>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</si>
  <si>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</si>
  <si>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</si>
  <si>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</si>
  <si>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</si>
  <si>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</si>
  <si>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</si>
  <si>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</si>
  <si>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</si>
  <si>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</si>
  <si>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</si>
  <si>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</si>
  <si>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</si>
  <si>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</si>
  <si>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</si>
  <si>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</si>
  <si>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</si>
  <si>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</si>
  <si>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</si>
  <si>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</si>
  <si>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</si>
  <si>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</si>
  <si>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</si>
  <si>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</si>
  <si>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</si>
  <si>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</si>
  <si>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</si>
  <si>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</si>
  <si>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</si>
  <si>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</si>
  <si>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</si>
  <si>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</si>
  <si>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</si>
  <si>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</si>
  <si>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</si>
  <si>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</si>
  <si>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</si>
  <si>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</si>
  <si>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</si>
  <si>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</si>
  <si>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</si>
  <si>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</si>
  <si>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</si>
  <si>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</si>
  <si>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</si>
  <si>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</si>
  <si>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</si>
  <si>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</si>
  <si>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</si>
  <si>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</si>
  <si>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</si>
  <si>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</si>
  <si>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</si>
  <si>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</si>
  <si>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</si>
  <si>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</si>
  <si>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</si>
  <si>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</si>
  <si>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</si>
  <si>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</si>
  <si>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</si>
  <si>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</si>
  <si>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</si>
  <si>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</si>
  <si>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</si>
  <si>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</si>
  <si>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</si>
  <si>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</si>
  <si>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</si>
  <si>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</si>
  <si>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</si>
  <si>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</si>
  <si>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</si>
  <si>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</si>
  <si>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</si>
  <si>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</si>
  <si>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</si>
  <si>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</si>
  <si>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</si>
  <si>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</si>
  <si>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</si>
  <si>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</si>
  <si>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</si>
  <si>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</si>
  <si>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</si>
  <si>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</si>
  <si>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</si>
  <si>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</si>
  <si>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</si>
  <si>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</si>
  <si>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</si>
  <si>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</si>
  <si>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</si>
  <si>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</si>
  <si>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</si>
  <si>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</si>
  <si>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</si>
  <si>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</si>
  <si>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</si>
  <si>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</si>
  <si>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</si>
  <si>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</si>
  <si>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</si>
  <si>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</si>
  <si>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</si>
  <si>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</si>
  <si>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</si>
  <si>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</si>
  <si>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</si>
  <si>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</si>
  <si>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</si>
  <si>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</si>
  <si>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</si>
  <si>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</si>
  <si>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</si>
  <si>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</si>
  <si>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</si>
  <si>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</si>
  <si>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</si>
  <si>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</si>
  <si>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</si>
  <si>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</si>
  <si>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</si>
  <si>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</si>
  <si>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</si>
  <si>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</si>
  <si>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</si>
  <si>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</si>
  <si>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</si>
  <si>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</si>
  <si>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</si>
  <si>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</si>
  <si>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</si>
  <si>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</si>
  <si>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</si>
  <si>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</si>
  <si>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</si>
  <si>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</si>
  <si>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</si>
  <si>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</si>
  <si>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</si>
  <si>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</si>
  <si>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</si>
  <si>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</si>
  <si>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</si>
  <si>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</si>
  <si>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</si>
  <si>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</si>
  <si>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</si>
  <si>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</si>
  <si>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</si>
  <si>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</si>
  <si>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</si>
  <si>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</si>
  <si>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</si>
  <si>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</si>
  <si>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</si>
  <si>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</si>
  <si>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</si>
  <si>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</si>
  <si>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</si>
  <si>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</si>
  <si>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</si>
  <si>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</si>
  <si>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</si>
  <si>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</si>
  <si>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</si>
  <si>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</si>
  <si>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</si>
  <si>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</si>
  <si>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</si>
  <si>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</si>
  <si>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</si>
  <si>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</si>
  <si>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</si>
  <si>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</si>
  <si>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</si>
  <si>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</si>
  <si>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</si>
  <si>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</si>
  <si>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</si>
  <si>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</si>
  <si>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</si>
  <si>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</si>
  <si>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</si>
  <si>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</si>
  <si>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</si>
  <si>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</si>
  <si>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</si>
  <si>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</si>
  <si>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</si>
  <si>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</si>
  <si>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</si>
  <si>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</si>
  <si>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</si>
  <si>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</si>
  <si>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</si>
  <si>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</si>
  <si>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</si>
  <si>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</si>
  <si>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</si>
  <si>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</si>
  <si>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</si>
  <si>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</si>
  <si>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</si>
  <si>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</si>
  <si>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</si>
  <si>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</si>
  <si>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</si>
  <si>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</si>
  <si>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</si>
  <si>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</si>
  <si>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</si>
  <si>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</si>
  <si>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</si>
  <si>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</si>
  <si>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</si>
  <si>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</si>
  <si>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</si>
  <si>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</si>
  <si>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</si>
  <si>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</si>
  <si>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</si>
  <si>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</si>
  <si>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</si>
  <si>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</si>
  <si>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</si>
  <si>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</si>
  <si>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</si>
  <si>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</si>
  <si>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</si>
  <si>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</si>
  <si>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</si>
  <si>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</si>
  <si>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</si>
  <si>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</si>
  <si>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</si>
  <si>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</si>
  <si>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</si>
  <si>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</si>
  <si>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</si>
  <si>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</si>
  <si>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</si>
  <si>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</si>
  <si>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</si>
  <si>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</si>
  <si>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</si>
  <si>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</si>
  <si>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</si>
  <si>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</si>
  <si>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</si>
  <si>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</si>
  <si>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</si>
  <si>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</si>
  <si>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</si>
  <si>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</si>
  <si>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</si>
  <si>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</si>
  <si>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</si>
  <si>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</si>
  <si>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</si>
  <si>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</si>
  <si>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</si>
  <si>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</si>
  <si>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</si>
  <si>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</si>
  <si>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</si>
  <si>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</si>
  <si>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</si>
  <si>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</si>
  <si>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</si>
  <si>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</si>
  <si>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</si>
  <si>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</si>
  <si>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</si>
  <si>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</si>
  <si>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</si>
  <si>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</si>
  <si>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</si>
  <si>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</si>
  <si>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</si>
  <si>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</si>
  <si>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</si>
  <si>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</si>
  <si>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</si>
  <si>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</si>
  <si>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</si>
  <si>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</si>
  <si>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</si>
  <si>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</si>
  <si>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</si>
  <si>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</si>
  <si>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</si>
  <si>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</si>
  <si>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</si>
  <si>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</si>
  <si>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</si>
  <si>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</si>
  <si>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</si>
  <si>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</si>
  <si>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</si>
  <si>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</si>
  <si>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</si>
  <si>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</si>
  <si>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</si>
  <si>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</si>
  <si>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</si>
  <si>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</si>
  <si>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</si>
  <si>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</si>
  <si>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</si>
  <si>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</si>
  <si>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</si>
  <si>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</si>
  <si>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</si>
  <si>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</si>
  <si>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</si>
  <si>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</si>
  <si>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</si>
  <si>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</si>
  <si>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</si>
  <si>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</si>
  <si>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</si>
  <si>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</si>
  <si>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</si>
  <si>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</si>
  <si>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</si>
  <si>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</si>
  <si>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</si>
  <si>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</si>
  <si>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</si>
  <si>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</si>
  <si>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</si>
  <si>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</si>
  <si>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</si>
  <si>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</si>
  <si>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</si>
  <si>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</si>
  <si>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</si>
  <si>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</si>
  <si>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</si>
  <si>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</si>
  <si>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</si>
  <si>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</si>
  <si>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</si>
  <si>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</si>
  <si>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</si>
  <si>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</si>
  <si>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</si>
  <si>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</si>
  <si>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</si>
  <si>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</si>
  <si>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</si>
  <si>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</si>
  <si>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</si>
  <si>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</si>
  <si>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</si>
  <si>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</si>
  <si>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</si>
  <si>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</si>
  <si>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</si>
  <si>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</si>
  <si>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</si>
  <si>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</si>
  <si>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</si>
  <si>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</si>
  <si>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</si>
  <si>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</si>
  <si>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</si>
  <si>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</si>
  <si>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</si>
  <si>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</si>
  <si>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</si>
  <si>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</si>
  <si>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</si>
  <si>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</si>
  <si>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</si>
  <si>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</si>
  <si>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</si>
  <si>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</si>
  <si>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</si>
  <si>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23098</t>
  </si>
  <si>
    <t>DROGENBOS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</si>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</sst>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39382.771689435256</c:v>
                </c:pt>
                <c:pt idx="1">
                  <c:v>38485.993545006946</c:v>
                </c:pt>
                <c:pt idx="2">
                  <c:v>268.87599999999998</c:v>
                </c:pt>
                <c:pt idx="3">
                  <c:v>3.9541348544485122</c:v>
                </c:pt>
                <c:pt idx="4">
                  <c:v>93556.98145106202</c:v>
                </c:pt>
                <c:pt idx="5">
                  <c:v>73204.432714244918</c:v>
                </c:pt>
                <c:pt idx="6">
                  <c:v>1288.2080787719124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39382.771689435256</c:v>
                </c:pt>
                <c:pt idx="1">
                  <c:v>38485.993545006946</c:v>
                </c:pt>
                <c:pt idx="2">
                  <c:v>268.87599999999998</c:v>
                </c:pt>
                <c:pt idx="3">
                  <c:v>3.9541348544485122</c:v>
                </c:pt>
                <c:pt idx="4">
                  <c:v>93556.98145106202</c:v>
                </c:pt>
                <c:pt idx="5">
                  <c:v>73204.432714244918</c:v>
                </c:pt>
                <c:pt idx="6">
                  <c:v>1288.2080787719124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7784.4342194476367</c:v>
                </c:pt>
                <c:pt idx="1">
                  <c:v>8079.5476293526881</c:v>
                </c:pt>
                <c:pt idx="2">
                  <c:v>57.595087393835122</c:v>
                </c:pt>
                <c:pt idx="3">
                  <c:v>1.0283903810100699</c:v>
                </c:pt>
                <c:pt idx="4">
                  <c:v>19797.938633463935</c:v>
                </c:pt>
                <c:pt idx="5">
                  <c:v>18157.180361280149</c:v>
                </c:pt>
                <c:pt idx="6">
                  <c:v>325.29762739757371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7784.4342194476367</c:v>
                </c:pt>
                <c:pt idx="1">
                  <c:v>8079.5476293526881</c:v>
                </c:pt>
                <c:pt idx="2">
                  <c:v>57.595087393835122</c:v>
                </c:pt>
                <c:pt idx="3">
                  <c:v>1.0283903810100699</c:v>
                </c:pt>
                <c:pt idx="4">
                  <c:v>19797.938633463935</c:v>
                </c:pt>
                <c:pt idx="5">
                  <c:v>18157.180361280149</c:v>
                </c:pt>
                <c:pt idx="6">
                  <c:v>325.29762739757371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23098</v>
      </c>
      <c r="B6" s="386"/>
      <c r="C6" s="387"/>
    </row>
    <row r="7" spans="1:7" s="384" customFormat="1" ht="15.75" customHeight="1">
      <c r="A7" s="388" t="str">
        <f>txtMunicipality</f>
        <v>DROGENBOS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18296.865428934059</v>
      </c>
      <c r="D10" s="682">
        <f ca="1">tertiair!C16</f>
        <v>0</v>
      </c>
      <c r="E10" s="682">
        <f ca="1">tertiair!D16</f>
        <v>18262.784423547517</v>
      </c>
      <c r="F10" s="682">
        <f>tertiair!E16</f>
        <v>46.00804975528964</v>
      </c>
      <c r="G10" s="682">
        <f ca="1">tertiair!F16</f>
        <v>1941.1991079214313</v>
      </c>
      <c r="H10" s="682">
        <f>tertiair!G16</f>
        <v>0</v>
      </c>
      <c r="I10" s="682">
        <f>tertiair!H16</f>
        <v>0</v>
      </c>
      <c r="J10" s="682">
        <f>tertiair!I16</f>
        <v>0</v>
      </c>
      <c r="K10" s="682">
        <f>tertiair!J16</f>
        <v>5.4537243469087544E-3</v>
      </c>
      <c r="L10" s="682">
        <f>tertiair!K16</f>
        <v>0</v>
      </c>
      <c r="M10" s="682">
        <f ca="1">tertiair!L16</f>
        <v>0</v>
      </c>
      <c r="N10" s="682">
        <f>tertiair!M16</f>
        <v>0</v>
      </c>
      <c r="O10" s="682">
        <f ca="1">tertiair!N16</f>
        <v>208.00708112429589</v>
      </c>
      <c r="P10" s="682">
        <f>tertiair!O16</f>
        <v>0</v>
      </c>
      <c r="Q10" s="683">
        <f>tertiair!P16</f>
        <v>0</v>
      </c>
      <c r="R10" s="685">
        <f ca="1">SUM(C10:Q10)</f>
        <v>38754.86954500695</v>
      </c>
      <c r="S10" s="67"/>
    </row>
    <row r="11" spans="1:19" s="445" customFormat="1">
      <c r="A11" s="803" t="s">
        <v>220</v>
      </c>
      <c r="B11" s="808"/>
      <c r="C11" s="682">
        <f>huishoudens!B8</f>
        <v>6746.3189932438509</v>
      </c>
      <c r="D11" s="682">
        <f>huishoudens!C8</f>
        <v>0</v>
      </c>
      <c r="E11" s="682">
        <f>huishoudens!D8</f>
        <v>24659.142338811365</v>
      </c>
      <c r="F11" s="682">
        <f>huishoudens!E8</f>
        <v>214.50023755719366</v>
      </c>
      <c r="G11" s="682">
        <f>huishoudens!F8</f>
        <v>4872.1327857424749</v>
      </c>
      <c r="H11" s="682">
        <f>huishoudens!G8</f>
        <v>0</v>
      </c>
      <c r="I11" s="682">
        <f>huishoudens!H8</f>
        <v>0</v>
      </c>
      <c r="J11" s="682">
        <f>huishoudens!I8</f>
        <v>0</v>
      </c>
      <c r="K11" s="682">
        <f>huishoudens!J8</f>
        <v>24.374458303889107</v>
      </c>
      <c r="L11" s="682">
        <f>huishoudens!K8</f>
        <v>0</v>
      </c>
      <c r="M11" s="682">
        <f>huishoudens!L8</f>
        <v>0</v>
      </c>
      <c r="N11" s="682">
        <f>huishoudens!M8</f>
        <v>0</v>
      </c>
      <c r="O11" s="682">
        <f>huishoudens!N8</f>
        <v>2845.8491253718571</v>
      </c>
      <c r="P11" s="682">
        <f>huishoudens!O8</f>
        <v>9.9197910969351586</v>
      </c>
      <c r="Q11" s="683">
        <f>huishoudens!P8</f>
        <v>10.533959307685024</v>
      </c>
      <c r="R11" s="685">
        <f>SUM(C11:Q11)</f>
        <v>39382.771689435256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23959.261607618959</v>
      </c>
      <c r="D13" s="682">
        <f>industrie!C18</f>
        <v>0</v>
      </c>
      <c r="E13" s="682">
        <f>industrie!D18</f>
        <v>56682.23688929301</v>
      </c>
      <c r="F13" s="682">
        <f>industrie!E18</f>
        <v>129.39896198901189</v>
      </c>
      <c r="G13" s="682">
        <f>industrie!F18</f>
        <v>11926.467041115635</v>
      </c>
      <c r="H13" s="682">
        <f>industrie!G18</f>
        <v>0</v>
      </c>
      <c r="I13" s="682">
        <f>industrie!H18</f>
        <v>0</v>
      </c>
      <c r="J13" s="682">
        <f>industrie!I18</f>
        <v>0</v>
      </c>
      <c r="K13" s="682">
        <f>industrie!J18</f>
        <v>6.0677697424281227</v>
      </c>
      <c r="L13" s="682">
        <f>industrie!K18</f>
        <v>0</v>
      </c>
      <c r="M13" s="682">
        <f>industrie!L18</f>
        <v>0</v>
      </c>
      <c r="N13" s="682">
        <f>industrie!M18</f>
        <v>0</v>
      </c>
      <c r="O13" s="682">
        <f>industrie!N18</f>
        <v>853.54918130298609</v>
      </c>
      <c r="P13" s="682">
        <f>industrie!O18</f>
        <v>0</v>
      </c>
      <c r="Q13" s="683">
        <f>industrie!P18</f>
        <v>0</v>
      </c>
      <c r="R13" s="685">
        <f>SUM(C13:Q13)</f>
        <v>93556.98145106202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49002.446029796869</v>
      </c>
      <c r="D16" s="718">
        <f t="shared" ref="D16:R16" ca="1" si="0">SUM(D9:D15)</f>
        <v>0</v>
      </c>
      <c r="E16" s="718">
        <f t="shared" ca="1" si="0"/>
        <v>99604.163651651892</v>
      </c>
      <c r="F16" s="718">
        <f t="shared" si="0"/>
        <v>389.9072493014952</v>
      </c>
      <c r="G16" s="718">
        <f t="shared" ca="1" si="0"/>
        <v>18739.798934779541</v>
      </c>
      <c r="H16" s="718">
        <f t="shared" si="0"/>
        <v>0</v>
      </c>
      <c r="I16" s="718">
        <f t="shared" si="0"/>
        <v>0</v>
      </c>
      <c r="J16" s="718">
        <f t="shared" si="0"/>
        <v>0</v>
      </c>
      <c r="K16" s="718">
        <f t="shared" si="0"/>
        <v>30.447681770664136</v>
      </c>
      <c r="L16" s="718">
        <f t="shared" si="0"/>
        <v>0</v>
      </c>
      <c r="M16" s="718">
        <f t="shared" ca="1" si="0"/>
        <v>0</v>
      </c>
      <c r="N16" s="718">
        <f t="shared" si="0"/>
        <v>0</v>
      </c>
      <c r="O16" s="718">
        <f t="shared" ca="1" si="0"/>
        <v>3907.4053877991391</v>
      </c>
      <c r="P16" s="718">
        <f t="shared" si="0"/>
        <v>9.9197910969351586</v>
      </c>
      <c r="Q16" s="718">
        <f t="shared" si="0"/>
        <v>10.533959307685024</v>
      </c>
      <c r="R16" s="718">
        <f t="shared" ca="1" si="0"/>
        <v>171694.62268550423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16.879124932858694</v>
      </c>
      <c r="D19" s="682">
        <f>transport!C54</f>
        <v>0</v>
      </c>
      <c r="E19" s="682">
        <f>transport!D54</f>
        <v>0</v>
      </c>
      <c r="F19" s="682">
        <f>transport!E54</f>
        <v>0</v>
      </c>
      <c r="G19" s="682">
        <f>transport!F54</f>
        <v>0</v>
      </c>
      <c r="H19" s="682">
        <f>transport!G54</f>
        <v>1204.8015086651831</v>
      </c>
      <c r="I19" s="682">
        <f>transport!H54</f>
        <v>0</v>
      </c>
      <c r="J19" s="682">
        <f>transport!I54</f>
        <v>0</v>
      </c>
      <c r="K19" s="682">
        <f>transport!J54</f>
        <v>0</v>
      </c>
      <c r="L19" s="682">
        <f>transport!K54</f>
        <v>0</v>
      </c>
      <c r="M19" s="682">
        <f>transport!L54</f>
        <v>0</v>
      </c>
      <c r="N19" s="682">
        <f>transport!M54</f>
        <v>66.527445173870589</v>
      </c>
      <c r="O19" s="682">
        <f>transport!N54</f>
        <v>0</v>
      </c>
      <c r="P19" s="682">
        <f>transport!O54</f>
        <v>0</v>
      </c>
      <c r="Q19" s="683">
        <f>transport!P54</f>
        <v>0</v>
      </c>
      <c r="R19" s="685">
        <f>SUM(C19:Q19)</f>
        <v>1288.2080787719124</v>
      </c>
      <c r="S19" s="67"/>
    </row>
    <row r="20" spans="1:19" s="445" customFormat="1">
      <c r="A20" s="803" t="s">
        <v>302</v>
      </c>
      <c r="B20" s="808"/>
      <c r="C20" s="682">
        <f>transport!B14</f>
        <v>148.25824054644329</v>
      </c>
      <c r="D20" s="682">
        <f>transport!C14</f>
        <v>0</v>
      </c>
      <c r="E20" s="682">
        <f>transport!D14</f>
        <v>244.57254675156625</v>
      </c>
      <c r="F20" s="682">
        <f>transport!E14</f>
        <v>149.43041935014355</v>
      </c>
      <c r="G20" s="682">
        <f>transport!F14</f>
        <v>0</v>
      </c>
      <c r="H20" s="682">
        <f>transport!G14</f>
        <v>53386.983861966473</v>
      </c>
      <c r="I20" s="682">
        <f>transport!H14</f>
        <v>15211.941270199097</v>
      </c>
      <c r="J20" s="682">
        <f>transport!I14</f>
        <v>0</v>
      </c>
      <c r="K20" s="682">
        <f>transport!J14</f>
        <v>0</v>
      </c>
      <c r="L20" s="682">
        <f>transport!K14</f>
        <v>0</v>
      </c>
      <c r="M20" s="682">
        <f>transport!L14</f>
        <v>0</v>
      </c>
      <c r="N20" s="682">
        <f>transport!M14</f>
        <v>4063.2463754311952</v>
      </c>
      <c r="O20" s="682">
        <f>transport!N14</f>
        <v>0</v>
      </c>
      <c r="P20" s="682">
        <f>transport!O14</f>
        <v>0</v>
      </c>
      <c r="Q20" s="683">
        <f>transport!P14</f>
        <v>0</v>
      </c>
      <c r="R20" s="685">
        <f>SUM(C20:Q20)</f>
        <v>73204.432714244918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165.13736547930199</v>
      </c>
      <c r="D22" s="806">
        <f t="shared" ref="D22:R22" si="1">SUM(D18:D21)</f>
        <v>0</v>
      </c>
      <c r="E22" s="806">
        <f t="shared" si="1"/>
        <v>244.57254675156625</v>
      </c>
      <c r="F22" s="806">
        <f t="shared" si="1"/>
        <v>149.43041935014355</v>
      </c>
      <c r="G22" s="806">
        <f t="shared" si="1"/>
        <v>0</v>
      </c>
      <c r="H22" s="806">
        <f t="shared" si="1"/>
        <v>54591.785370631653</v>
      </c>
      <c r="I22" s="806">
        <f t="shared" si="1"/>
        <v>15211.941270199097</v>
      </c>
      <c r="J22" s="806">
        <f t="shared" si="1"/>
        <v>0</v>
      </c>
      <c r="K22" s="806">
        <f t="shared" si="1"/>
        <v>0</v>
      </c>
      <c r="L22" s="806">
        <f t="shared" si="1"/>
        <v>0</v>
      </c>
      <c r="M22" s="806">
        <f t="shared" si="1"/>
        <v>0</v>
      </c>
      <c r="N22" s="806">
        <f t="shared" si="1"/>
        <v>4129.7738206050662</v>
      </c>
      <c r="O22" s="806">
        <f t="shared" si="1"/>
        <v>0</v>
      </c>
      <c r="P22" s="806">
        <f t="shared" si="1"/>
        <v>0</v>
      </c>
      <c r="Q22" s="806">
        <f t="shared" si="1"/>
        <v>0</v>
      </c>
      <c r="R22" s="806">
        <f t="shared" si="1"/>
        <v>74492.640793016835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0.87015281443339998</v>
      </c>
      <c r="D24" s="682">
        <f>+landbouw!C8</f>
        <v>0</v>
      </c>
      <c r="E24" s="682">
        <f>+landbouw!D8</f>
        <v>0</v>
      </c>
      <c r="F24" s="682">
        <f>+landbouw!E8</f>
        <v>3.245066005781299E-2</v>
      </c>
      <c r="G24" s="682">
        <f>+landbouw!F8</f>
        <v>2.8231119703048946</v>
      </c>
      <c r="H24" s="682">
        <f>+landbouw!G8</f>
        <v>0</v>
      </c>
      <c r="I24" s="682">
        <f>+landbouw!H8</f>
        <v>0</v>
      </c>
      <c r="J24" s="682">
        <f>+landbouw!I8</f>
        <v>0</v>
      </c>
      <c r="K24" s="682">
        <f>+landbouw!J8</f>
        <v>0.2284194096524044</v>
      </c>
      <c r="L24" s="682">
        <f>+landbouw!K8</f>
        <v>0</v>
      </c>
      <c r="M24" s="682">
        <f>+landbouw!L8</f>
        <v>0</v>
      </c>
      <c r="N24" s="682">
        <f>+landbouw!M8</f>
        <v>0</v>
      </c>
      <c r="O24" s="682">
        <f>+landbouw!N8</f>
        <v>0</v>
      </c>
      <c r="P24" s="682">
        <f>+landbouw!O8</f>
        <v>0</v>
      </c>
      <c r="Q24" s="683">
        <f>+landbouw!P8</f>
        <v>0</v>
      </c>
      <c r="R24" s="685">
        <f>SUM(C24:Q24)</f>
        <v>3.9541348544485122</v>
      </c>
      <c r="S24" s="67"/>
    </row>
    <row r="25" spans="1:19" s="445" customFormat="1" ht="15" thickBot="1">
      <c r="A25" s="825" t="s">
        <v>703</v>
      </c>
      <c r="B25" s="938"/>
      <c r="C25" s="939">
        <f>IF(Onbekend_ele_kWh="---",0,Onbekend_ele_kWh)/1000+IF(REST_rest_ele_kWh="---",0,REST_rest_ele_kWh)/1000</f>
        <v>357.32672980151597</v>
      </c>
      <c r="D25" s="939"/>
      <c r="E25" s="939">
        <f>IF(onbekend_gas_kWh="---",0,onbekend_gas_kWh)/1000+IF(REST_rest_gas_kWh="---",0,REST_rest_gas_kWh)/1000</f>
        <v>1402.5285266009198</v>
      </c>
      <c r="F25" s="939"/>
      <c r="G25" s="939"/>
      <c r="H25" s="939"/>
      <c r="I25" s="939"/>
      <c r="J25" s="939"/>
      <c r="K25" s="939"/>
      <c r="L25" s="939"/>
      <c r="M25" s="939"/>
      <c r="N25" s="939"/>
      <c r="O25" s="939"/>
      <c r="P25" s="939"/>
      <c r="Q25" s="940"/>
      <c r="R25" s="685">
        <f>SUM(C25:Q25)</f>
        <v>1759.8552564024358</v>
      </c>
      <c r="S25" s="67"/>
    </row>
    <row r="26" spans="1:19" s="445" customFormat="1" ht="15.75" thickBot="1">
      <c r="A26" s="690" t="s">
        <v>704</v>
      </c>
      <c r="B26" s="811"/>
      <c r="C26" s="806">
        <f>SUM(C24:C25)</f>
        <v>358.19688261594939</v>
      </c>
      <c r="D26" s="806">
        <f t="shared" ref="D26:R26" si="2">SUM(D24:D25)</f>
        <v>0</v>
      </c>
      <c r="E26" s="806">
        <f t="shared" si="2"/>
        <v>1402.5285266009198</v>
      </c>
      <c r="F26" s="806">
        <f t="shared" si="2"/>
        <v>3.245066005781299E-2</v>
      </c>
      <c r="G26" s="806">
        <f t="shared" si="2"/>
        <v>2.8231119703048946</v>
      </c>
      <c r="H26" s="806">
        <f t="shared" si="2"/>
        <v>0</v>
      </c>
      <c r="I26" s="806">
        <f t="shared" si="2"/>
        <v>0</v>
      </c>
      <c r="J26" s="806">
        <f t="shared" si="2"/>
        <v>0</v>
      </c>
      <c r="K26" s="806">
        <f t="shared" si="2"/>
        <v>0.2284194096524044</v>
      </c>
      <c r="L26" s="806">
        <f t="shared" si="2"/>
        <v>0</v>
      </c>
      <c r="M26" s="806">
        <f t="shared" si="2"/>
        <v>0</v>
      </c>
      <c r="N26" s="806">
        <f t="shared" si="2"/>
        <v>0</v>
      </c>
      <c r="O26" s="806">
        <f t="shared" si="2"/>
        <v>0</v>
      </c>
      <c r="P26" s="806">
        <f t="shared" si="2"/>
        <v>0</v>
      </c>
      <c r="Q26" s="806">
        <f t="shared" si="2"/>
        <v>0</v>
      </c>
      <c r="R26" s="806">
        <f t="shared" si="2"/>
        <v>1763.8093912568843</v>
      </c>
      <c r="S26" s="67"/>
    </row>
    <row r="27" spans="1:19" s="445" customFormat="1" ht="17.25" thickTop="1" thickBot="1">
      <c r="A27" s="691" t="s">
        <v>115</v>
      </c>
      <c r="B27" s="798"/>
      <c r="C27" s="692">
        <f ca="1">C22+C16+C26</f>
        <v>49525.780277892118</v>
      </c>
      <c r="D27" s="692">
        <f t="shared" ref="D27:R27" ca="1" si="3">D22+D16+D26</f>
        <v>0</v>
      </c>
      <c r="E27" s="692">
        <f t="shared" ca="1" si="3"/>
        <v>101251.26472500438</v>
      </c>
      <c r="F27" s="692">
        <f t="shared" si="3"/>
        <v>539.37011931169661</v>
      </c>
      <c r="G27" s="692">
        <f t="shared" ca="1" si="3"/>
        <v>18742.622046749846</v>
      </c>
      <c r="H27" s="692">
        <f t="shared" si="3"/>
        <v>54591.785370631653</v>
      </c>
      <c r="I27" s="692">
        <f t="shared" si="3"/>
        <v>15211.941270199097</v>
      </c>
      <c r="J27" s="692">
        <f t="shared" si="3"/>
        <v>0</v>
      </c>
      <c r="K27" s="692">
        <f t="shared" si="3"/>
        <v>30.67610118031654</v>
      </c>
      <c r="L27" s="692">
        <f t="shared" si="3"/>
        <v>0</v>
      </c>
      <c r="M27" s="692">
        <f t="shared" ca="1" si="3"/>
        <v>0</v>
      </c>
      <c r="N27" s="692">
        <f t="shared" si="3"/>
        <v>4129.7738206050662</v>
      </c>
      <c r="O27" s="692">
        <f t="shared" ca="1" si="3"/>
        <v>3907.4053877991391</v>
      </c>
      <c r="P27" s="692">
        <f t="shared" si="3"/>
        <v>9.9197910969351586</v>
      </c>
      <c r="Q27" s="692">
        <f t="shared" si="3"/>
        <v>10.533959307685024</v>
      </c>
      <c r="R27" s="692">
        <f t="shared" ca="1" si="3"/>
        <v>247951.07286977797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3919.3143434620338</v>
      </c>
      <c r="D40" s="682">
        <f ca="1">tertiair!C20</f>
        <v>0</v>
      </c>
      <c r="E40" s="682">
        <f ca="1">tertiair!D20</f>
        <v>3689.0824535565985</v>
      </c>
      <c r="F40" s="682">
        <f>tertiair!E20</f>
        <v>10.443827294450749</v>
      </c>
      <c r="G40" s="682">
        <f ca="1">tertiair!F20</f>
        <v>518.30016181502219</v>
      </c>
      <c r="H40" s="682">
        <f>tertiair!G20</f>
        <v>0</v>
      </c>
      <c r="I40" s="682">
        <f>tertiair!H20</f>
        <v>0</v>
      </c>
      <c r="J40" s="682">
        <f>tertiair!I20</f>
        <v>0</v>
      </c>
      <c r="K40" s="682">
        <f>tertiair!J20</f>
        <v>1.9306184188056989E-3</v>
      </c>
      <c r="L40" s="682">
        <f>tertiair!K20</f>
        <v>0</v>
      </c>
      <c r="M40" s="682">
        <f ca="1">tertiair!L20</f>
        <v>0</v>
      </c>
      <c r="N40" s="682">
        <f>tertiair!M20</f>
        <v>0</v>
      </c>
      <c r="O40" s="682">
        <f ca="1">tertiair!N20</f>
        <v>0</v>
      </c>
      <c r="P40" s="682">
        <f>tertiair!O20</f>
        <v>0</v>
      </c>
      <c r="Q40" s="765">
        <f>tertiair!P20</f>
        <v>0</v>
      </c>
      <c r="R40" s="844">
        <f t="shared" ca="1" si="4"/>
        <v>8137.1427167465235</v>
      </c>
    </row>
    <row r="41" spans="1:18">
      <c r="A41" s="816" t="s">
        <v>220</v>
      </c>
      <c r="B41" s="823"/>
      <c r="C41" s="682">
        <f ca="1">huishoudens!B12</f>
        <v>1445.1079010494407</v>
      </c>
      <c r="D41" s="682">
        <f ca="1">huishoudens!C12</f>
        <v>0</v>
      </c>
      <c r="E41" s="682">
        <f>huishoudens!D12</f>
        <v>4981.1467524398959</v>
      </c>
      <c r="F41" s="682">
        <f>huishoudens!E12</f>
        <v>48.691553925482964</v>
      </c>
      <c r="G41" s="682">
        <f>huishoudens!F12</f>
        <v>1300.8594537932408</v>
      </c>
      <c r="H41" s="682">
        <f>huishoudens!G12</f>
        <v>0</v>
      </c>
      <c r="I41" s="682">
        <f>huishoudens!H12</f>
        <v>0</v>
      </c>
      <c r="J41" s="682">
        <f>huishoudens!I12</f>
        <v>0</v>
      </c>
      <c r="K41" s="682">
        <f>huishoudens!J12</f>
        <v>8.6285582395767424</v>
      </c>
      <c r="L41" s="682">
        <f>huishoudens!K12</f>
        <v>0</v>
      </c>
      <c r="M41" s="682">
        <f>huishoudens!L12</f>
        <v>0</v>
      </c>
      <c r="N41" s="682">
        <f>huishoudens!M12</f>
        <v>0</v>
      </c>
      <c r="O41" s="682">
        <f>huishoudens!N12</f>
        <v>0</v>
      </c>
      <c r="P41" s="682">
        <f>huishoudens!O12</f>
        <v>0</v>
      </c>
      <c r="Q41" s="765">
        <f>huishoudens!P12</f>
        <v>0</v>
      </c>
      <c r="R41" s="844">
        <f t="shared" ca="1" si="4"/>
        <v>7784.4342194476367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5132.2385269885472</v>
      </c>
      <c r="D43" s="682">
        <f ca="1">industrie!C22</f>
        <v>0</v>
      </c>
      <c r="E43" s="682">
        <f>industrie!D22</f>
        <v>11449.811851637189</v>
      </c>
      <c r="F43" s="682">
        <f>industrie!E22</f>
        <v>29.373564371505701</v>
      </c>
      <c r="G43" s="682">
        <f>industrie!F22</f>
        <v>3184.3666999778748</v>
      </c>
      <c r="H43" s="682">
        <f>industrie!G22</f>
        <v>0</v>
      </c>
      <c r="I43" s="682">
        <f>industrie!H22</f>
        <v>0</v>
      </c>
      <c r="J43" s="682">
        <f>industrie!I22</f>
        <v>0</v>
      </c>
      <c r="K43" s="682">
        <f>industrie!J22</f>
        <v>2.1479904888195551</v>
      </c>
      <c r="L43" s="682">
        <f>industrie!K22</f>
        <v>0</v>
      </c>
      <c r="M43" s="682">
        <f>industrie!L22</f>
        <v>0</v>
      </c>
      <c r="N43" s="682">
        <f>industrie!M22</f>
        <v>0</v>
      </c>
      <c r="O43" s="682">
        <f>industrie!N22</f>
        <v>0</v>
      </c>
      <c r="P43" s="682">
        <f>industrie!O22</f>
        <v>0</v>
      </c>
      <c r="Q43" s="765">
        <f>industrie!P22</f>
        <v>0</v>
      </c>
      <c r="R43" s="843">
        <f t="shared" ca="1" si="4"/>
        <v>19797.938633463935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10496.660771500021</v>
      </c>
      <c r="D46" s="718">
        <f t="shared" ref="D46:Q46" ca="1" si="5">SUM(D39:D45)</f>
        <v>0</v>
      </c>
      <c r="E46" s="718">
        <f t="shared" ca="1" si="5"/>
        <v>20120.041057633684</v>
      </c>
      <c r="F46" s="718">
        <f t="shared" si="5"/>
        <v>88.508945591439414</v>
      </c>
      <c r="G46" s="718">
        <f t="shared" ca="1" si="5"/>
        <v>5003.5263155861376</v>
      </c>
      <c r="H46" s="718">
        <f t="shared" si="5"/>
        <v>0</v>
      </c>
      <c r="I46" s="718">
        <f t="shared" si="5"/>
        <v>0</v>
      </c>
      <c r="J46" s="718">
        <f t="shared" si="5"/>
        <v>0</v>
      </c>
      <c r="K46" s="718">
        <f t="shared" si="5"/>
        <v>10.778479346815104</v>
      </c>
      <c r="L46" s="718">
        <f t="shared" si="5"/>
        <v>0</v>
      </c>
      <c r="M46" s="718">
        <f t="shared" ca="1" si="5"/>
        <v>0</v>
      </c>
      <c r="N46" s="718">
        <f t="shared" si="5"/>
        <v>0</v>
      </c>
      <c r="O46" s="718">
        <f t="shared" ca="1" si="5"/>
        <v>0</v>
      </c>
      <c r="P46" s="718">
        <f t="shared" si="5"/>
        <v>0</v>
      </c>
      <c r="Q46" s="718">
        <f t="shared" si="5"/>
        <v>0</v>
      </c>
      <c r="R46" s="718">
        <f ca="1">SUM(R39:R45)</f>
        <v>35719.515569658091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3.6156245839697778</v>
      </c>
      <c r="D49" s="682">
        <f ca="1">transport!C58</f>
        <v>0</v>
      </c>
      <c r="E49" s="682">
        <f>transport!D58</f>
        <v>0</v>
      </c>
      <c r="F49" s="682">
        <f>transport!E58</f>
        <v>0</v>
      </c>
      <c r="G49" s="682">
        <f>transport!F58</f>
        <v>0</v>
      </c>
      <c r="H49" s="682">
        <f>transport!G58</f>
        <v>321.6820028136039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325.29762739757371</v>
      </c>
    </row>
    <row r="50" spans="1:18">
      <c r="A50" s="819" t="s">
        <v>302</v>
      </c>
      <c r="B50" s="829"/>
      <c r="C50" s="688">
        <f ca="1">transport!B18</f>
        <v>31.757934219226083</v>
      </c>
      <c r="D50" s="688">
        <f>transport!C18</f>
        <v>0</v>
      </c>
      <c r="E50" s="688">
        <f>transport!D18</f>
        <v>49.403654443816386</v>
      </c>
      <c r="F50" s="688">
        <f>transport!E18</f>
        <v>33.920705192482586</v>
      </c>
      <c r="G50" s="688">
        <f>transport!F18</f>
        <v>0</v>
      </c>
      <c r="H50" s="688">
        <f>transport!G18</f>
        <v>14254.32469114505</v>
      </c>
      <c r="I50" s="688">
        <f>transport!H18</f>
        <v>3787.7733762795751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18157.180361280149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35.373558803195863</v>
      </c>
      <c r="D52" s="718">
        <f t="shared" ref="D52:Q52" ca="1" si="6">SUM(D48:D51)</f>
        <v>0</v>
      </c>
      <c r="E52" s="718">
        <f t="shared" si="6"/>
        <v>49.403654443816386</v>
      </c>
      <c r="F52" s="718">
        <f t="shared" si="6"/>
        <v>33.920705192482586</v>
      </c>
      <c r="G52" s="718">
        <f t="shared" si="6"/>
        <v>0</v>
      </c>
      <c r="H52" s="718">
        <f t="shared" si="6"/>
        <v>14576.006693958654</v>
      </c>
      <c r="I52" s="718">
        <f t="shared" si="6"/>
        <v>3787.7733762795751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18482.477988677721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0.18639271408858832</v>
      </c>
      <c r="D54" s="688">
        <f ca="1">+landbouw!C12</f>
        <v>0</v>
      </c>
      <c r="E54" s="688">
        <f>+landbouw!D12</f>
        <v>0</v>
      </c>
      <c r="F54" s="688">
        <f>+landbouw!E12</f>
        <v>7.3662998331235491E-3</v>
      </c>
      <c r="G54" s="688">
        <f>+landbouw!F12</f>
        <v>0.7537708960714069</v>
      </c>
      <c r="H54" s="688">
        <f>+landbouw!G12</f>
        <v>0</v>
      </c>
      <c r="I54" s="688">
        <f>+landbouw!H12</f>
        <v>0</v>
      </c>
      <c r="J54" s="688">
        <f>+landbouw!I12</f>
        <v>0</v>
      </c>
      <c r="K54" s="688">
        <f>+landbouw!J12</f>
        <v>8.0860471016951152E-2</v>
      </c>
      <c r="L54" s="688">
        <f>+landbouw!K12</f>
        <v>0</v>
      </c>
      <c r="M54" s="688">
        <f>+landbouw!L12</f>
        <v>0</v>
      </c>
      <c r="N54" s="688">
        <f>+landbouw!M12</f>
        <v>0</v>
      </c>
      <c r="O54" s="688">
        <f>+landbouw!N12</f>
        <v>0</v>
      </c>
      <c r="P54" s="688">
        <f>+landbouw!O12</f>
        <v>0</v>
      </c>
      <c r="Q54" s="689">
        <f>+landbouw!P12</f>
        <v>0</v>
      </c>
      <c r="R54" s="717">
        <f ca="1">SUM(C54:Q54)</f>
        <v>1.0283903810100699</v>
      </c>
    </row>
    <row r="55" spans="1:18" ht="15" thickBot="1">
      <c r="A55" s="819" t="s">
        <v>703</v>
      </c>
      <c r="B55" s="829"/>
      <c r="C55" s="688">
        <f ca="1">C25*'EF ele_warmte'!B12</f>
        <v>76.541841707968075</v>
      </c>
      <c r="D55" s="688"/>
      <c r="E55" s="688">
        <f>E25*EF_CO2_aardgas</f>
        <v>283.31076237338584</v>
      </c>
      <c r="F55" s="688"/>
      <c r="G55" s="688"/>
      <c r="H55" s="688"/>
      <c r="I55" s="688"/>
      <c r="J55" s="688"/>
      <c r="K55" s="688"/>
      <c r="L55" s="688"/>
      <c r="M55" s="688"/>
      <c r="N55" s="688"/>
      <c r="O55" s="688"/>
      <c r="P55" s="688"/>
      <c r="Q55" s="689"/>
      <c r="R55" s="717">
        <f ca="1">SUM(C55:Q55)</f>
        <v>359.85260408135389</v>
      </c>
    </row>
    <row r="56" spans="1:18" ht="15.75" thickBot="1">
      <c r="A56" s="817" t="s">
        <v>704</v>
      </c>
      <c r="B56" s="830"/>
      <c r="C56" s="718">
        <f ca="1">SUM(C54:C55)</f>
        <v>76.728234422056659</v>
      </c>
      <c r="D56" s="718">
        <f t="shared" ref="D56:Q56" ca="1" si="7">SUM(D54:D55)</f>
        <v>0</v>
      </c>
      <c r="E56" s="718">
        <f t="shared" si="7"/>
        <v>283.31076237338584</v>
      </c>
      <c r="F56" s="718">
        <f t="shared" si="7"/>
        <v>7.3662998331235491E-3</v>
      </c>
      <c r="G56" s="718">
        <f t="shared" si="7"/>
        <v>0.7537708960714069</v>
      </c>
      <c r="H56" s="718">
        <f t="shared" si="7"/>
        <v>0</v>
      </c>
      <c r="I56" s="718">
        <f t="shared" si="7"/>
        <v>0</v>
      </c>
      <c r="J56" s="718">
        <f t="shared" si="7"/>
        <v>0</v>
      </c>
      <c r="K56" s="718">
        <f t="shared" si="7"/>
        <v>8.0860471016951152E-2</v>
      </c>
      <c r="L56" s="718">
        <f t="shared" si="7"/>
        <v>0</v>
      </c>
      <c r="M56" s="718">
        <f t="shared" si="7"/>
        <v>0</v>
      </c>
      <c r="N56" s="718">
        <f t="shared" si="7"/>
        <v>0</v>
      </c>
      <c r="O56" s="718">
        <f t="shared" si="7"/>
        <v>0</v>
      </c>
      <c r="P56" s="718">
        <f t="shared" si="7"/>
        <v>0</v>
      </c>
      <c r="Q56" s="719">
        <f t="shared" si="7"/>
        <v>0</v>
      </c>
      <c r="R56" s="720">
        <f ca="1">SUM(R54:R55)</f>
        <v>360.88099446236396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10608.762564725273</v>
      </c>
      <c r="D61" s="726">
        <f t="shared" ref="D61:Q61" ca="1" si="8">D46+D52+D56</f>
        <v>0</v>
      </c>
      <c r="E61" s="726">
        <f t="shared" ca="1" si="8"/>
        <v>20452.755474450885</v>
      </c>
      <c r="F61" s="726">
        <f t="shared" si="8"/>
        <v>122.43701708375512</v>
      </c>
      <c r="G61" s="726">
        <f t="shared" ca="1" si="8"/>
        <v>5004.2800864822093</v>
      </c>
      <c r="H61" s="726">
        <f t="shared" si="8"/>
        <v>14576.006693958654</v>
      </c>
      <c r="I61" s="726">
        <f t="shared" si="8"/>
        <v>3787.7733762795751</v>
      </c>
      <c r="J61" s="726">
        <f t="shared" si="8"/>
        <v>0</v>
      </c>
      <c r="K61" s="726">
        <f t="shared" si="8"/>
        <v>10.859339817832055</v>
      </c>
      <c r="L61" s="726">
        <f t="shared" si="8"/>
        <v>0</v>
      </c>
      <c r="M61" s="726">
        <f t="shared" ca="1" si="8"/>
        <v>0</v>
      </c>
      <c r="N61" s="726">
        <f t="shared" si="8"/>
        <v>0</v>
      </c>
      <c r="O61" s="726">
        <f t="shared" ca="1" si="8"/>
        <v>0</v>
      </c>
      <c r="P61" s="726">
        <f t="shared" si="8"/>
        <v>0</v>
      </c>
      <c r="Q61" s="726">
        <f t="shared" si="8"/>
        <v>0</v>
      </c>
      <c r="R61" s="726">
        <f ca="1">R46+R52+R56</f>
        <v>54562.874552798181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0.21420687377763403</v>
      </c>
      <c r="D63" s="772">
        <f t="shared" ca="1" si="9"/>
        <v>0</v>
      </c>
      <c r="E63" s="964">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180.57718970644905</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1341.7525690667919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1522.3297587732409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6746.3189932438509</v>
      </c>
      <c r="C4" s="449">
        <f>huishoudens!C8</f>
        <v>0</v>
      </c>
      <c r="D4" s="449">
        <f>huishoudens!D8</f>
        <v>24659.142338811365</v>
      </c>
      <c r="E4" s="449">
        <f>huishoudens!E8</f>
        <v>214.50023755719366</v>
      </c>
      <c r="F4" s="449">
        <f>huishoudens!F8</f>
        <v>4872.1327857424749</v>
      </c>
      <c r="G4" s="449">
        <f>huishoudens!G8</f>
        <v>0</v>
      </c>
      <c r="H4" s="449">
        <f>huishoudens!H8</f>
        <v>0</v>
      </c>
      <c r="I4" s="449">
        <f>huishoudens!I8</f>
        <v>0</v>
      </c>
      <c r="J4" s="449">
        <f>huishoudens!J8</f>
        <v>24.374458303889107</v>
      </c>
      <c r="K4" s="449">
        <f>huishoudens!K8</f>
        <v>0</v>
      </c>
      <c r="L4" s="449">
        <f>huishoudens!L8</f>
        <v>0</v>
      </c>
      <c r="M4" s="449">
        <f>huishoudens!M8</f>
        <v>0</v>
      </c>
      <c r="N4" s="449">
        <f>huishoudens!N8</f>
        <v>2845.8491253718571</v>
      </c>
      <c r="O4" s="449">
        <f>huishoudens!O8</f>
        <v>9.9197910969351586</v>
      </c>
      <c r="P4" s="450">
        <f>huishoudens!P8</f>
        <v>10.533959307685024</v>
      </c>
      <c r="Q4" s="451">
        <f>SUM(B4:P4)</f>
        <v>39382.771689435256</v>
      </c>
    </row>
    <row r="5" spans="1:17">
      <c r="A5" s="448" t="s">
        <v>155</v>
      </c>
      <c r="B5" s="449">
        <f ca="1">tertiair!B16</f>
        <v>18027.989428934059</v>
      </c>
      <c r="C5" s="449">
        <f ca="1">tertiair!C16</f>
        <v>0</v>
      </c>
      <c r="D5" s="449">
        <f ca="1">tertiair!D16</f>
        <v>18262.784423547517</v>
      </c>
      <c r="E5" s="449">
        <f>tertiair!E16</f>
        <v>46.00804975528964</v>
      </c>
      <c r="F5" s="449">
        <f ca="1">tertiair!F16</f>
        <v>1941.1991079214313</v>
      </c>
      <c r="G5" s="449">
        <f>tertiair!G16</f>
        <v>0</v>
      </c>
      <c r="H5" s="449">
        <f>tertiair!H16</f>
        <v>0</v>
      </c>
      <c r="I5" s="449">
        <f>tertiair!I16</f>
        <v>0</v>
      </c>
      <c r="J5" s="449">
        <f>tertiair!J16</f>
        <v>5.4537243469087544E-3</v>
      </c>
      <c r="K5" s="449">
        <f>tertiair!K16</f>
        <v>0</v>
      </c>
      <c r="L5" s="449">
        <f ca="1">tertiair!L16</f>
        <v>0</v>
      </c>
      <c r="M5" s="449">
        <f>tertiair!M16</f>
        <v>0</v>
      </c>
      <c r="N5" s="449">
        <f ca="1">tertiair!N16</f>
        <v>208.00708112429589</v>
      </c>
      <c r="O5" s="449">
        <f>tertiair!O16</f>
        <v>0</v>
      </c>
      <c r="P5" s="450">
        <f>tertiair!P16</f>
        <v>0</v>
      </c>
      <c r="Q5" s="448">
        <f t="shared" ref="Q5:Q14" ca="1" si="0">SUM(B5:P5)</f>
        <v>38485.993545006946</v>
      </c>
    </row>
    <row r="6" spans="1:17">
      <c r="A6" s="448" t="s">
        <v>193</v>
      </c>
      <c r="B6" s="449">
        <f>'openbare verlichting'!B8</f>
        <v>268.87599999999998</v>
      </c>
      <c r="C6" s="449"/>
      <c r="D6" s="449"/>
      <c r="E6" s="449"/>
      <c r="F6" s="449"/>
      <c r="G6" s="449"/>
      <c r="H6" s="449"/>
      <c r="I6" s="449"/>
      <c r="J6" s="449"/>
      <c r="K6" s="449"/>
      <c r="L6" s="449"/>
      <c r="M6" s="449"/>
      <c r="N6" s="449"/>
      <c r="O6" s="449"/>
      <c r="P6" s="450"/>
      <c r="Q6" s="448">
        <f t="shared" si="0"/>
        <v>268.87599999999998</v>
      </c>
    </row>
    <row r="7" spans="1:17">
      <c r="A7" s="448" t="s">
        <v>111</v>
      </c>
      <c r="B7" s="449">
        <f>landbouw!B8</f>
        <v>0.87015281443339998</v>
      </c>
      <c r="C7" s="449">
        <f>landbouw!C8</f>
        <v>0</v>
      </c>
      <c r="D7" s="449">
        <f>landbouw!D8</f>
        <v>0</v>
      </c>
      <c r="E7" s="449">
        <f>landbouw!E8</f>
        <v>3.245066005781299E-2</v>
      </c>
      <c r="F7" s="449">
        <f>landbouw!F8</f>
        <v>2.8231119703048946</v>
      </c>
      <c r="G7" s="449">
        <f>landbouw!G8</f>
        <v>0</v>
      </c>
      <c r="H7" s="449">
        <f>landbouw!H8</f>
        <v>0</v>
      </c>
      <c r="I7" s="449">
        <f>landbouw!I8</f>
        <v>0</v>
      </c>
      <c r="J7" s="449">
        <f>landbouw!J8</f>
        <v>0.2284194096524044</v>
      </c>
      <c r="K7" s="449">
        <f>landbouw!K8</f>
        <v>0</v>
      </c>
      <c r="L7" s="449">
        <f>landbouw!L8</f>
        <v>0</v>
      </c>
      <c r="M7" s="449">
        <f>landbouw!M8</f>
        <v>0</v>
      </c>
      <c r="N7" s="449">
        <f>landbouw!N8</f>
        <v>0</v>
      </c>
      <c r="O7" s="449">
        <f>landbouw!O8</f>
        <v>0</v>
      </c>
      <c r="P7" s="450">
        <f>landbouw!P8</f>
        <v>0</v>
      </c>
      <c r="Q7" s="448">
        <f t="shared" si="0"/>
        <v>3.9541348544485122</v>
      </c>
    </row>
    <row r="8" spans="1:17">
      <c r="A8" s="448" t="s">
        <v>618</v>
      </c>
      <c r="B8" s="449">
        <f>industrie!B18</f>
        <v>23959.261607618959</v>
      </c>
      <c r="C8" s="449">
        <f>industrie!C18</f>
        <v>0</v>
      </c>
      <c r="D8" s="449">
        <f>industrie!D18</f>
        <v>56682.23688929301</v>
      </c>
      <c r="E8" s="449">
        <f>industrie!E18</f>
        <v>129.39896198901189</v>
      </c>
      <c r="F8" s="449">
        <f>industrie!F18</f>
        <v>11926.467041115635</v>
      </c>
      <c r="G8" s="449">
        <f>industrie!G18</f>
        <v>0</v>
      </c>
      <c r="H8" s="449">
        <f>industrie!H18</f>
        <v>0</v>
      </c>
      <c r="I8" s="449">
        <f>industrie!I18</f>
        <v>0</v>
      </c>
      <c r="J8" s="449">
        <f>industrie!J18</f>
        <v>6.0677697424281227</v>
      </c>
      <c r="K8" s="449">
        <f>industrie!K18</f>
        <v>0</v>
      </c>
      <c r="L8" s="449">
        <f>industrie!L18</f>
        <v>0</v>
      </c>
      <c r="M8" s="449">
        <f>industrie!M18</f>
        <v>0</v>
      </c>
      <c r="N8" s="449">
        <f>industrie!N18</f>
        <v>853.54918130298609</v>
      </c>
      <c r="O8" s="449">
        <f>industrie!O18</f>
        <v>0</v>
      </c>
      <c r="P8" s="450">
        <f>industrie!P18</f>
        <v>0</v>
      </c>
      <c r="Q8" s="448">
        <f t="shared" si="0"/>
        <v>93556.98145106202</v>
      </c>
    </row>
    <row r="9" spans="1:17" s="454" customFormat="1">
      <c r="A9" s="452" t="s">
        <v>544</v>
      </c>
      <c r="B9" s="453">
        <f>transport!B14</f>
        <v>148.25824054644329</v>
      </c>
      <c r="C9" s="453">
        <f>transport!C14</f>
        <v>0</v>
      </c>
      <c r="D9" s="453">
        <f>transport!D14</f>
        <v>244.57254675156625</v>
      </c>
      <c r="E9" s="453">
        <f>transport!E14</f>
        <v>149.43041935014355</v>
      </c>
      <c r="F9" s="453">
        <f>transport!F14</f>
        <v>0</v>
      </c>
      <c r="G9" s="453">
        <f>transport!G14</f>
        <v>53386.983861966473</v>
      </c>
      <c r="H9" s="453">
        <f>transport!H14</f>
        <v>15211.941270199097</v>
      </c>
      <c r="I9" s="453">
        <f>transport!I14</f>
        <v>0</v>
      </c>
      <c r="J9" s="453">
        <f>transport!J14</f>
        <v>0</v>
      </c>
      <c r="K9" s="453">
        <f>transport!K14</f>
        <v>0</v>
      </c>
      <c r="L9" s="453">
        <f>transport!L14</f>
        <v>0</v>
      </c>
      <c r="M9" s="453">
        <f>transport!M14</f>
        <v>4063.2463754311952</v>
      </c>
      <c r="N9" s="453">
        <f>transport!N14</f>
        <v>0</v>
      </c>
      <c r="O9" s="453">
        <f>transport!O14</f>
        <v>0</v>
      </c>
      <c r="P9" s="453">
        <f>transport!P14</f>
        <v>0</v>
      </c>
      <c r="Q9" s="452">
        <f>SUM(B9:P9)</f>
        <v>73204.432714244918</v>
      </c>
    </row>
    <row r="10" spans="1:17">
      <c r="A10" s="448" t="s">
        <v>534</v>
      </c>
      <c r="B10" s="449">
        <f>transport!B54</f>
        <v>16.879124932858694</v>
      </c>
      <c r="C10" s="449">
        <f>transport!C54</f>
        <v>0</v>
      </c>
      <c r="D10" s="449">
        <f>transport!D54</f>
        <v>0</v>
      </c>
      <c r="E10" s="449">
        <f>transport!E54</f>
        <v>0</v>
      </c>
      <c r="F10" s="449">
        <f>transport!F54</f>
        <v>0</v>
      </c>
      <c r="G10" s="449">
        <f>transport!G54</f>
        <v>1204.8015086651831</v>
      </c>
      <c r="H10" s="449">
        <f>transport!H54</f>
        <v>0</v>
      </c>
      <c r="I10" s="449">
        <f>transport!I54</f>
        <v>0</v>
      </c>
      <c r="J10" s="449">
        <f>transport!J54</f>
        <v>0</v>
      </c>
      <c r="K10" s="449">
        <f>transport!K54</f>
        <v>0</v>
      </c>
      <c r="L10" s="449">
        <f>transport!L54</f>
        <v>0</v>
      </c>
      <c r="M10" s="449">
        <f>transport!M54</f>
        <v>66.527445173870589</v>
      </c>
      <c r="N10" s="449">
        <f>transport!N54</f>
        <v>0</v>
      </c>
      <c r="O10" s="449">
        <f>transport!O54</f>
        <v>0</v>
      </c>
      <c r="P10" s="450">
        <f>transport!P54</f>
        <v>0</v>
      </c>
      <c r="Q10" s="448">
        <f t="shared" si="0"/>
        <v>1288.2080787719124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357.32672980151597</v>
      </c>
      <c r="C14" s="456"/>
      <c r="D14" s="456">
        <f>'SEAP template'!E25</f>
        <v>1402.5285266009198</v>
      </c>
      <c r="E14" s="456"/>
      <c r="F14" s="456"/>
      <c r="G14" s="456"/>
      <c r="H14" s="456"/>
      <c r="I14" s="456"/>
      <c r="J14" s="456"/>
      <c r="K14" s="456"/>
      <c r="L14" s="456"/>
      <c r="M14" s="456"/>
      <c r="N14" s="456"/>
      <c r="O14" s="456"/>
      <c r="P14" s="457"/>
      <c r="Q14" s="448">
        <f t="shared" si="0"/>
        <v>1759.8552564024358</v>
      </c>
    </row>
    <row r="15" spans="1:17" s="460" customFormat="1">
      <c r="A15" s="458" t="s">
        <v>538</v>
      </c>
      <c r="B15" s="459">
        <f ca="1">SUM(B4:B14)</f>
        <v>49525.780277892118</v>
      </c>
      <c r="C15" s="459">
        <f t="shared" ref="C15:Q15" ca="1" si="1">SUM(C4:C14)</f>
        <v>0</v>
      </c>
      <c r="D15" s="459">
        <f t="shared" ca="1" si="1"/>
        <v>101251.26472500438</v>
      </c>
      <c r="E15" s="459">
        <f t="shared" si="1"/>
        <v>539.3701193116965</v>
      </c>
      <c r="F15" s="459">
        <f t="shared" ca="1" si="1"/>
        <v>18742.622046749846</v>
      </c>
      <c r="G15" s="459">
        <f t="shared" si="1"/>
        <v>54591.785370631653</v>
      </c>
      <c r="H15" s="459">
        <f t="shared" si="1"/>
        <v>15211.941270199097</v>
      </c>
      <c r="I15" s="459">
        <f t="shared" si="1"/>
        <v>0</v>
      </c>
      <c r="J15" s="459">
        <f t="shared" si="1"/>
        <v>30.67610118031654</v>
      </c>
      <c r="K15" s="459">
        <f t="shared" si="1"/>
        <v>0</v>
      </c>
      <c r="L15" s="459">
        <f t="shared" ca="1" si="1"/>
        <v>0</v>
      </c>
      <c r="M15" s="459">
        <f t="shared" si="1"/>
        <v>4129.7738206050662</v>
      </c>
      <c r="N15" s="459">
        <f t="shared" ca="1" si="1"/>
        <v>3907.4053877991391</v>
      </c>
      <c r="O15" s="459">
        <f t="shared" si="1"/>
        <v>9.9197910969351586</v>
      </c>
      <c r="P15" s="459">
        <f t="shared" si="1"/>
        <v>10.533959307685024</v>
      </c>
      <c r="Q15" s="459">
        <f t="shared" ca="1" si="1"/>
        <v>247951.07286977791</v>
      </c>
    </row>
    <row r="17" spans="1:17">
      <c r="A17" s="461" t="s">
        <v>539</v>
      </c>
      <c r="B17" s="777">
        <f ca="1">huishoudens!B10</f>
        <v>0.21420687377763403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1445.1079010494407</v>
      </c>
      <c r="C22" s="449">
        <f t="shared" ref="C22:C32" ca="1" si="3">C4*$C$17</f>
        <v>0</v>
      </c>
      <c r="D22" s="449">
        <f t="shared" ref="D22:D32" si="4">D4*$D$17</f>
        <v>4981.1467524398959</v>
      </c>
      <c r="E22" s="449">
        <f t="shared" ref="E22:E32" si="5">E4*$E$17</f>
        <v>48.691553925482964</v>
      </c>
      <c r="F22" s="449">
        <f t="shared" ref="F22:F32" si="6">F4*$F$17</f>
        <v>1300.8594537932408</v>
      </c>
      <c r="G22" s="449">
        <f t="shared" ref="G22:G32" si="7">G4*$G$17</f>
        <v>0</v>
      </c>
      <c r="H22" s="449">
        <f t="shared" ref="H22:H32" si="8">H4*$H$17</f>
        <v>0</v>
      </c>
      <c r="I22" s="449">
        <f t="shared" ref="I22:I32" si="9">I4*$I$17</f>
        <v>0</v>
      </c>
      <c r="J22" s="449">
        <f t="shared" ref="J22:J32" si="10">J4*$J$17</f>
        <v>8.6285582395767424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7784.4342194476367</v>
      </c>
    </row>
    <row r="23" spans="1:17">
      <c r="A23" s="448" t="s">
        <v>155</v>
      </c>
      <c r="B23" s="449">
        <f t="shared" ca="1" si="2"/>
        <v>3861.7192560681988</v>
      </c>
      <c r="C23" s="449">
        <f t="shared" ca="1" si="3"/>
        <v>0</v>
      </c>
      <c r="D23" s="449">
        <f t="shared" ca="1" si="4"/>
        <v>3689.0824535565985</v>
      </c>
      <c r="E23" s="449">
        <f t="shared" si="5"/>
        <v>10.443827294450749</v>
      </c>
      <c r="F23" s="449">
        <f t="shared" ca="1" si="6"/>
        <v>518.30016181502219</v>
      </c>
      <c r="G23" s="449">
        <f t="shared" si="7"/>
        <v>0</v>
      </c>
      <c r="H23" s="449">
        <f t="shared" si="8"/>
        <v>0</v>
      </c>
      <c r="I23" s="449">
        <f t="shared" si="9"/>
        <v>0</v>
      </c>
      <c r="J23" s="449">
        <f t="shared" si="10"/>
        <v>1.9306184188056989E-3</v>
      </c>
      <c r="K23" s="449">
        <f t="shared" si="11"/>
        <v>0</v>
      </c>
      <c r="L23" s="449">
        <f t="shared" ca="1" si="12"/>
        <v>0</v>
      </c>
      <c r="M23" s="449">
        <f t="shared" si="13"/>
        <v>0</v>
      </c>
      <c r="N23" s="449">
        <f t="shared" ca="1" si="14"/>
        <v>0</v>
      </c>
      <c r="O23" s="449">
        <f t="shared" si="15"/>
        <v>0</v>
      </c>
      <c r="P23" s="450">
        <f t="shared" si="16"/>
        <v>0</v>
      </c>
      <c r="Q23" s="448">
        <f t="shared" ref="Q23:Q31" ca="1" si="17">SUM(B23:P23)</f>
        <v>8079.5476293526881</v>
      </c>
    </row>
    <row r="24" spans="1:17">
      <c r="A24" s="448" t="s">
        <v>193</v>
      </c>
      <c r="B24" s="449">
        <f t="shared" ca="1" si="2"/>
        <v>57.595087393835122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57.595087393835122</v>
      </c>
    </row>
    <row r="25" spans="1:17">
      <c r="A25" s="448" t="s">
        <v>111</v>
      </c>
      <c r="B25" s="449">
        <f t="shared" ca="1" si="2"/>
        <v>0.18639271408858832</v>
      </c>
      <c r="C25" s="449">
        <f t="shared" ca="1" si="3"/>
        <v>0</v>
      </c>
      <c r="D25" s="449">
        <f t="shared" si="4"/>
        <v>0</v>
      </c>
      <c r="E25" s="449">
        <f t="shared" si="5"/>
        <v>7.3662998331235491E-3</v>
      </c>
      <c r="F25" s="449">
        <f t="shared" si="6"/>
        <v>0.7537708960714069</v>
      </c>
      <c r="G25" s="449">
        <f t="shared" si="7"/>
        <v>0</v>
      </c>
      <c r="H25" s="449">
        <f t="shared" si="8"/>
        <v>0</v>
      </c>
      <c r="I25" s="449">
        <f t="shared" si="9"/>
        <v>0</v>
      </c>
      <c r="J25" s="449">
        <f t="shared" si="10"/>
        <v>8.0860471016951152E-2</v>
      </c>
      <c r="K25" s="449">
        <f t="shared" si="11"/>
        <v>0</v>
      </c>
      <c r="L25" s="449">
        <f t="shared" si="12"/>
        <v>0</v>
      </c>
      <c r="M25" s="449">
        <f t="shared" si="13"/>
        <v>0</v>
      </c>
      <c r="N25" s="449">
        <f t="shared" si="14"/>
        <v>0</v>
      </c>
      <c r="O25" s="449">
        <f t="shared" si="15"/>
        <v>0</v>
      </c>
      <c r="P25" s="450">
        <f t="shared" si="16"/>
        <v>0</v>
      </c>
      <c r="Q25" s="448">
        <f t="shared" ca="1" si="17"/>
        <v>1.0283903810100699</v>
      </c>
    </row>
    <row r="26" spans="1:17">
      <c r="A26" s="448" t="s">
        <v>618</v>
      </c>
      <c r="B26" s="449">
        <f t="shared" ca="1" si="2"/>
        <v>5132.2385269885472</v>
      </c>
      <c r="C26" s="449">
        <f t="shared" ca="1" si="3"/>
        <v>0</v>
      </c>
      <c r="D26" s="449">
        <f t="shared" si="4"/>
        <v>11449.811851637189</v>
      </c>
      <c r="E26" s="449">
        <f t="shared" si="5"/>
        <v>29.373564371505701</v>
      </c>
      <c r="F26" s="449">
        <f t="shared" si="6"/>
        <v>3184.3666999778748</v>
      </c>
      <c r="G26" s="449">
        <f t="shared" si="7"/>
        <v>0</v>
      </c>
      <c r="H26" s="449">
        <f t="shared" si="8"/>
        <v>0</v>
      </c>
      <c r="I26" s="449">
        <f t="shared" si="9"/>
        <v>0</v>
      </c>
      <c r="J26" s="449">
        <f t="shared" si="10"/>
        <v>2.1479904888195551</v>
      </c>
      <c r="K26" s="449">
        <f t="shared" si="11"/>
        <v>0</v>
      </c>
      <c r="L26" s="449">
        <f t="shared" si="12"/>
        <v>0</v>
      </c>
      <c r="M26" s="449">
        <f t="shared" si="13"/>
        <v>0</v>
      </c>
      <c r="N26" s="449">
        <f t="shared" si="14"/>
        <v>0</v>
      </c>
      <c r="O26" s="449">
        <f t="shared" si="15"/>
        <v>0</v>
      </c>
      <c r="P26" s="450">
        <f t="shared" si="16"/>
        <v>0</v>
      </c>
      <c r="Q26" s="448">
        <f t="shared" ca="1" si="17"/>
        <v>19797.938633463935</v>
      </c>
    </row>
    <row r="27" spans="1:17" s="454" customFormat="1">
      <c r="A27" s="452" t="s">
        <v>544</v>
      </c>
      <c r="B27" s="771">
        <f t="shared" ca="1" si="2"/>
        <v>31.757934219226083</v>
      </c>
      <c r="C27" s="453">
        <f t="shared" ca="1" si="3"/>
        <v>0</v>
      </c>
      <c r="D27" s="453">
        <f t="shared" si="4"/>
        <v>49.403654443816386</v>
      </c>
      <c r="E27" s="453">
        <f t="shared" si="5"/>
        <v>33.920705192482586</v>
      </c>
      <c r="F27" s="453">
        <f t="shared" si="6"/>
        <v>0</v>
      </c>
      <c r="G27" s="453">
        <f t="shared" si="7"/>
        <v>14254.32469114505</v>
      </c>
      <c r="H27" s="453">
        <f t="shared" si="8"/>
        <v>3787.7733762795751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18157.180361280149</v>
      </c>
    </row>
    <row r="28" spans="1:17" ht="16.5" customHeight="1">
      <c r="A28" s="448" t="s">
        <v>534</v>
      </c>
      <c r="B28" s="449">
        <f t="shared" ca="1" si="2"/>
        <v>3.6156245839697778</v>
      </c>
      <c r="C28" s="449">
        <f t="shared" ca="1" si="3"/>
        <v>0</v>
      </c>
      <c r="D28" s="449">
        <f t="shared" si="4"/>
        <v>0</v>
      </c>
      <c r="E28" s="449">
        <f t="shared" si="5"/>
        <v>0</v>
      </c>
      <c r="F28" s="449">
        <f t="shared" si="6"/>
        <v>0</v>
      </c>
      <c r="G28" s="449">
        <f t="shared" si="7"/>
        <v>321.6820028136039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325.29762739757371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76.541841707968075</v>
      </c>
      <c r="C32" s="449">
        <f t="shared" ca="1" si="3"/>
        <v>0</v>
      </c>
      <c r="D32" s="449">
        <f t="shared" si="4"/>
        <v>283.31076237338584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359.85260408135389</v>
      </c>
    </row>
    <row r="33" spans="1:17" s="460" customFormat="1">
      <c r="A33" s="458" t="s">
        <v>538</v>
      </c>
      <c r="B33" s="459">
        <f ca="1">SUM(B22:B32)</f>
        <v>10608.762564725273</v>
      </c>
      <c r="C33" s="459">
        <f t="shared" ref="C33:Q33" ca="1" si="19">SUM(C22:C32)</f>
        <v>0</v>
      </c>
      <c r="D33" s="459">
        <f t="shared" ca="1" si="19"/>
        <v>20452.755474450885</v>
      </c>
      <c r="E33" s="459">
        <f t="shared" si="19"/>
        <v>122.43701708375512</v>
      </c>
      <c r="F33" s="459">
        <f t="shared" ca="1" si="19"/>
        <v>5004.2800864822093</v>
      </c>
      <c r="G33" s="459">
        <f t="shared" si="19"/>
        <v>14576.006693958654</v>
      </c>
      <c r="H33" s="459">
        <f t="shared" si="19"/>
        <v>3787.7733762795751</v>
      </c>
      <c r="I33" s="459">
        <f t="shared" si="19"/>
        <v>0</v>
      </c>
      <c r="J33" s="459">
        <f t="shared" si="19"/>
        <v>10.859339817832055</v>
      </c>
      <c r="K33" s="459">
        <f t="shared" si="19"/>
        <v>0</v>
      </c>
      <c r="L33" s="459">
        <f t="shared" ca="1" si="19"/>
        <v>0</v>
      </c>
      <c r="M33" s="459">
        <f t="shared" si="19"/>
        <v>0</v>
      </c>
      <c r="N33" s="459">
        <f t="shared" ca="1" si="19"/>
        <v>0</v>
      </c>
      <c r="O33" s="459">
        <f t="shared" si="19"/>
        <v>0</v>
      </c>
      <c r="P33" s="459">
        <f t="shared" si="19"/>
        <v>0</v>
      </c>
      <c r="Q33" s="459">
        <f t="shared" ca="1" si="19"/>
        <v>54562.874552798181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180.57718970644905</v>
      </c>
      <c r="C5" s="1015"/>
      <c r="D5" s="1015"/>
      <c r="E5" s="1015"/>
      <c r="F5" s="1015"/>
      <c r="G5" s="1015"/>
      <c r="H5" s="1015"/>
      <c r="I5" s="1015"/>
      <c r="J5" s="1015"/>
      <c r="K5" s="1015"/>
      <c r="L5" s="1015"/>
      <c r="M5" s="1015"/>
      <c r="N5" s="1015"/>
      <c r="O5" s="1015"/>
      <c r="P5" s="1016">
        <f>'SEAP template'!Q73</f>
        <v>0</v>
      </c>
    </row>
    <row r="6" spans="1:16">
      <c r="A6" s="1020" t="s">
        <v>246</v>
      </c>
      <c r="B6" s="1015">
        <f>'SEAP template'!B74</f>
        <v>1341.7525690667919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1522.3297587732409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0.21420687377763403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0.21420687377763403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0.21420687377763403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0.21420687377763403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1.73</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70861.899665730394</v>
      </c>
      <c r="E38" s="1308">
        <v>0</v>
      </c>
      <c r="F38" s="1308">
        <v>0</v>
      </c>
    </row>
    <row r="39" spans="1:6">
      <c r="A39" s="1307" t="s">
        <v>29</v>
      </c>
      <c r="B39" s="1307" t="s">
        <v>30</v>
      </c>
      <c r="C39" s="1308">
        <v>2028</v>
      </c>
      <c r="D39" s="1308">
        <v>27308020.308761202</v>
      </c>
      <c r="E39" s="1308">
        <v>2337</v>
      </c>
      <c r="F39" s="1308">
        <v>6609294.9941455098</v>
      </c>
    </row>
    <row r="40" spans="1:6">
      <c r="A40" s="1307" t="s">
        <v>29</v>
      </c>
      <c r="B40" s="1307" t="s">
        <v>28</v>
      </c>
      <c r="C40" s="1308">
        <v>0</v>
      </c>
      <c r="D40" s="1308">
        <v>0</v>
      </c>
      <c r="E40" s="1308">
        <v>0</v>
      </c>
      <c r="F40" s="1308">
        <v>0</v>
      </c>
    </row>
    <row r="41" spans="1:6">
      <c r="A41" s="1307" t="s">
        <v>31</v>
      </c>
      <c r="B41" s="1307" t="s">
        <v>32</v>
      </c>
      <c r="C41" s="1308">
        <v>19</v>
      </c>
      <c r="D41" s="1308">
        <v>60804346.371567599</v>
      </c>
      <c r="E41" s="1308">
        <v>41</v>
      </c>
      <c r="F41" s="1308">
        <v>19044881.700121399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1084079.4728865901</v>
      </c>
      <c r="E44" s="1308">
        <v>12</v>
      </c>
      <c r="F44" s="1308">
        <v>854811.00428767002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494666.91398206598</v>
      </c>
      <c r="E47" s="1308">
        <v>4</v>
      </c>
      <c r="F47" s="1308">
        <v>1478618.3358944501</v>
      </c>
    </row>
    <row r="48" spans="1:6">
      <c r="A48" s="1307" t="s">
        <v>31</v>
      </c>
      <c r="B48" s="1307" t="s">
        <v>28</v>
      </c>
      <c r="C48" s="1308">
        <v>2</v>
      </c>
      <c r="D48" s="1308">
        <v>387933.69703773299</v>
      </c>
      <c r="E48" s="1308">
        <v>2</v>
      </c>
      <c r="F48" s="1308">
        <v>2580950.5673154402</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0</v>
      </c>
      <c r="F51" s="1308">
        <v>0</v>
      </c>
    </row>
    <row r="52" spans="1:6">
      <c r="A52" s="1307" t="s">
        <v>41</v>
      </c>
      <c r="B52" s="1307" t="s">
        <v>28</v>
      </c>
      <c r="C52" s="1308">
        <v>0</v>
      </c>
      <c r="D52" s="1308">
        <v>0</v>
      </c>
      <c r="E52" s="1308">
        <v>2</v>
      </c>
      <c r="F52" s="1308">
        <v>870.15281443339995</v>
      </c>
    </row>
    <row r="53" spans="1:6">
      <c r="A53" s="1307" t="s">
        <v>43</v>
      </c>
      <c r="B53" s="1307" t="s">
        <v>44</v>
      </c>
      <c r="C53" s="1308">
        <v>63</v>
      </c>
      <c r="D53" s="1308">
        <v>1402528.5266009199</v>
      </c>
      <c r="E53" s="1308">
        <v>129</v>
      </c>
      <c r="F53" s="1308">
        <v>357326.72980151599</v>
      </c>
    </row>
    <row r="54" spans="1:6">
      <c r="A54" s="1307" t="s">
        <v>45</v>
      </c>
      <c r="B54" s="1307" t="s">
        <v>46</v>
      </c>
      <c r="C54" s="1308">
        <v>0</v>
      </c>
      <c r="D54" s="1308">
        <v>0</v>
      </c>
      <c r="E54" s="1308">
        <v>1</v>
      </c>
      <c r="F54" s="1308">
        <v>268876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v>
      </c>
      <c r="D57" s="1308">
        <v>950390.79234839499</v>
      </c>
      <c r="E57" s="1308">
        <v>20</v>
      </c>
      <c r="F57" s="1308">
        <v>549168.965753039</v>
      </c>
    </row>
    <row r="58" spans="1:6">
      <c r="A58" s="1307" t="s">
        <v>48</v>
      </c>
      <c r="B58" s="1307" t="s">
        <v>50</v>
      </c>
      <c r="C58" s="1308">
        <v>11</v>
      </c>
      <c r="D58" s="1308">
        <v>1238949.36734965</v>
      </c>
      <c r="E58" s="1308">
        <v>12</v>
      </c>
      <c r="F58" s="1308">
        <v>577750.99741000601</v>
      </c>
    </row>
    <row r="59" spans="1:6">
      <c r="A59" s="1307" t="s">
        <v>48</v>
      </c>
      <c r="B59" s="1307" t="s">
        <v>51</v>
      </c>
      <c r="C59" s="1308">
        <v>65</v>
      </c>
      <c r="D59" s="1308">
        <v>10269510.593952499</v>
      </c>
      <c r="E59" s="1308">
        <v>122</v>
      </c>
      <c r="F59" s="1308">
        <v>10540176.148593901</v>
      </c>
    </row>
    <row r="60" spans="1:6">
      <c r="A60" s="1307" t="s">
        <v>48</v>
      </c>
      <c r="B60" s="1307" t="s">
        <v>52</v>
      </c>
      <c r="C60" s="1308">
        <v>21</v>
      </c>
      <c r="D60" s="1308">
        <v>1875492.8567244301</v>
      </c>
      <c r="E60" s="1308">
        <v>27</v>
      </c>
      <c r="F60" s="1308">
        <v>2003427.1730429099</v>
      </c>
    </row>
    <row r="61" spans="1:6">
      <c r="A61" s="1307" t="s">
        <v>48</v>
      </c>
      <c r="B61" s="1307" t="s">
        <v>53</v>
      </c>
      <c r="C61" s="1308">
        <v>76</v>
      </c>
      <c r="D61" s="1308">
        <v>5890223.8575624702</v>
      </c>
      <c r="E61" s="1308">
        <v>201</v>
      </c>
      <c r="F61" s="1308">
        <v>4342509.4182169102</v>
      </c>
    </row>
    <row r="62" spans="1:6">
      <c r="A62" s="1307" t="s">
        <v>48</v>
      </c>
      <c r="B62" s="1307" t="s">
        <v>54</v>
      </c>
      <c r="C62" s="1308">
        <v>0</v>
      </c>
      <c r="D62" s="1308">
        <v>0</v>
      </c>
      <c r="E62" s="1308">
        <v>0</v>
      </c>
      <c r="F62" s="1308">
        <v>0</v>
      </c>
    </row>
    <row r="63" spans="1:6">
      <c r="A63" s="1307" t="s">
        <v>48</v>
      </c>
      <c r="B63" s="1307" t="s">
        <v>28</v>
      </c>
      <c r="C63" s="1308">
        <v>0</v>
      </c>
      <c r="D63" s="1308">
        <v>0</v>
      </c>
      <c r="E63" s="1308">
        <v>1</v>
      </c>
      <c r="F63" s="1308">
        <v>14956.7259172922</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4793.5546138600002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3</v>
      </c>
      <c r="D68" s="1311">
        <v>175125.777144525</v>
      </c>
      <c r="E68" s="1311">
        <v>5</v>
      </c>
      <c r="F68" s="1311">
        <v>134523.39227466399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18866281</v>
      </c>
      <c r="E73" s="447"/>
      <c r="F73" s="326"/>
    </row>
    <row r="74" spans="1:6">
      <c r="A74" s="1307" t="s">
        <v>63</v>
      </c>
      <c r="B74" s="1307" t="s">
        <v>639</v>
      </c>
      <c r="C74" s="1321" t="s">
        <v>641</v>
      </c>
      <c r="D74" s="1322">
        <v>559828.58860555454</v>
      </c>
      <c r="E74" s="447"/>
      <c r="F74" s="326"/>
    </row>
    <row r="75" spans="1:6">
      <c r="A75" s="1307" t="s">
        <v>64</v>
      </c>
      <c r="B75" s="1307" t="s">
        <v>638</v>
      </c>
      <c r="C75" s="1321" t="s">
        <v>642</v>
      </c>
      <c r="D75" s="1322">
        <v>17961299</v>
      </c>
      <c r="E75" s="447"/>
      <c r="F75" s="326"/>
    </row>
    <row r="76" spans="1:6">
      <c r="A76" s="1307" t="s">
        <v>64</v>
      </c>
      <c r="B76" s="1307" t="s">
        <v>639</v>
      </c>
      <c r="C76" s="1321" t="s">
        <v>643</v>
      </c>
      <c r="D76" s="1322">
        <v>96201.588605554512</v>
      </c>
      <c r="E76" s="447"/>
      <c r="F76" s="326"/>
    </row>
    <row r="77" spans="1:6">
      <c r="A77" s="1307" t="s">
        <v>65</v>
      </c>
      <c r="B77" s="1307" t="s">
        <v>638</v>
      </c>
      <c r="C77" s="1321" t="s">
        <v>644</v>
      </c>
      <c r="D77" s="1322">
        <v>51817575</v>
      </c>
      <c r="E77" s="447"/>
      <c r="F77" s="326"/>
    </row>
    <row r="78" spans="1:6">
      <c r="A78" s="1302" t="s">
        <v>65</v>
      </c>
      <c r="B78" s="1302" t="s">
        <v>639</v>
      </c>
      <c r="C78" s="1302" t="s">
        <v>645</v>
      </c>
      <c r="D78" s="1323">
        <v>3946316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356772.82278889098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180.57718970644905</v>
      </c>
      <c r="C89" s="326"/>
      <c r="D89" s="326"/>
      <c r="E89" s="326"/>
      <c r="F89" s="326"/>
    </row>
    <row r="90" spans="1:6">
      <c r="A90" s="1307" t="s">
        <v>532</v>
      </c>
      <c r="B90" s="1308">
        <v>0</v>
      </c>
      <c r="C90" s="326"/>
      <c r="D90" s="326"/>
      <c r="E90" s="326"/>
      <c r="F90" s="326"/>
    </row>
    <row r="91" spans="1:6">
      <c r="A91" s="1307" t="s">
        <v>67</v>
      </c>
      <c r="B91" s="1308">
        <v>137.02399909834079</v>
      </c>
      <c r="C91" s="326"/>
      <c r="D91" s="326"/>
      <c r="E91" s="326"/>
      <c r="F91" s="326"/>
    </row>
    <row r="92" spans="1:6">
      <c r="A92" s="1302" t="s">
        <v>68</v>
      </c>
      <c r="B92" s="1303">
        <v>1204.7285699684512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1469</v>
      </c>
      <c r="C97" s="326"/>
      <c r="D97" s="326"/>
      <c r="E97" s="326"/>
      <c r="F97" s="326"/>
    </row>
    <row r="98" spans="1:6">
      <c r="A98" s="1307" t="s">
        <v>71</v>
      </c>
      <c r="B98" s="1308">
        <v>1</v>
      </c>
      <c r="C98" s="326"/>
      <c r="D98" s="326"/>
      <c r="E98" s="326"/>
      <c r="F98" s="326"/>
    </row>
    <row r="99" spans="1:6">
      <c r="A99" s="1307" t="s">
        <v>72</v>
      </c>
      <c r="B99" s="1308">
        <v>6</v>
      </c>
      <c r="C99" s="326"/>
      <c r="D99" s="326"/>
      <c r="E99" s="326"/>
      <c r="F99" s="326"/>
    </row>
    <row r="100" spans="1:6">
      <c r="A100" s="1307" t="s">
        <v>73</v>
      </c>
      <c r="B100" s="1308">
        <v>75</v>
      </c>
      <c r="C100" s="326"/>
      <c r="D100" s="326"/>
      <c r="E100" s="326"/>
      <c r="F100" s="326"/>
    </row>
    <row r="101" spans="1:6">
      <c r="A101" s="1307" t="s">
        <v>74</v>
      </c>
      <c r="B101" s="1308">
        <v>7</v>
      </c>
      <c r="C101" s="326"/>
      <c r="D101" s="326"/>
      <c r="E101" s="326"/>
      <c r="F101" s="326"/>
    </row>
    <row r="102" spans="1:6">
      <c r="A102" s="1307" t="s">
        <v>75</v>
      </c>
      <c r="B102" s="1308">
        <v>25</v>
      </c>
      <c r="C102" s="326"/>
      <c r="D102" s="326"/>
      <c r="E102" s="326"/>
      <c r="F102" s="326"/>
    </row>
    <row r="103" spans="1:6">
      <c r="A103" s="1307" t="s">
        <v>76</v>
      </c>
      <c r="B103" s="1308">
        <v>18</v>
      </c>
      <c r="C103" s="326"/>
      <c r="D103" s="326"/>
      <c r="E103" s="326"/>
      <c r="F103" s="326"/>
    </row>
    <row r="104" spans="1:6">
      <c r="A104" s="1307" t="s">
        <v>77</v>
      </c>
      <c r="B104" s="1308">
        <v>268</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v>
      </c>
      <c r="C123" s="1308">
        <v>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49525.780277892118</v>
      </c>
      <c r="C3" s="43" t="s">
        <v>169</v>
      </c>
      <c r="D3" s="43"/>
      <c r="E3" s="154"/>
      <c r="F3" s="43"/>
      <c r="G3" s="43"/>
      <c r="H3" s="43"/>
      <c r="I3" s="43"/>
      <c r="J3" s="43"/>
      <c r="K3" s="96"/>
    </row>
    <row r="4" spans="1:11">
      <c r="A4" s="354" t="s">
        <v>170</v>
      </c>
      <c r="B4" s="49">
        <f>IF(ISERROR('SEAP template'!B78+'SEAP template'!C78),0,'SEAP template'!B78+'SEAP template'!C78)</f>
        <v>1522.3297587732409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0.21420687377763403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268.87599999999998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268.87599999999998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0.21420687377763403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57.595087393835122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6609.2949941455099</v>
      </c>
      <c r="C5" s="17">
        <f>IF(ISERROR('Eigen informatie GS &amp; warmtenet'!B59),0,'Eigen informatie GS &amp; warmtenet'!B59)</f>
        <v>0</v>
      </c>
      <c r="D5" s="30">
        <f>(SUM(HH_hh_gas_kWh,HH_rest_gas_kWh)/1000)*0.903</f>
        <v>24659.142338811365</v>
      </c>
      <c r="E5" s="17">
        <f>B32*B41</f>
        <v>214.50023755719366</v>
      </c>
      <c r="F5" s="17">
        <f>B36*B45</f>
        <v>4872.1327857424749</v>
      </c>
      <c r="G5" s="18"/>
      <c r="H5" s="17"/>
      <c r="I5" s="17"/>
      <c r="J5" s="17">
        <f>B35*B44+C35*C44</f>
        <v>24.374458303889107</v>
      </c>
      <c r="K5" s="17"/>
      <c r="L5" s="17"/>
      <c r="M5" s="17"/>
      <c r="N5" s="17">
        <f>B34*B43+C34*C43</f>
        <v>2845.8491253718571</v>
      </c>
      <c r="O5" s="17">
        <f>B52*B53*B54</f>
        <v>9.9197910969351586</v>
      </c>
      <c r="P5" s="17">
        <f>B60*B61*B62/1000-B60*B61*B62/1000/B63</f>
        <v>10.533959307685024</v>
      </c>
    </row>
    <row r="6" spans="1:16">
      <c r="A6" s="16" t="s">
        <v>604</v>
      </c>
      <c r="B6" s="779">
        <f>kWh_PV_kleiner_dan_10kW</f>
        <v>137.02399909834079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6746.3189932438509</v>
      </c>
      <c r="C8" s="21">
        <f>C5</f>
        <v>0</v>
      </c>
      <c r="D8" s="21">
        <f>D5</f>
        <v>24659.142338811365</v>
      </c>
      <c r="E8" s="21">
        <f>E5</f>
        <v>214.50023755719366</v>
      </c>
      <c r="F8" s="21">
        <f>F5</f>
        <v>4872.1327857424749</v>
      </c>
      <c r="G8" s="21"/>
      <c r="H8" s="21"/>
      <c r="I8" s="21"/>
      <c r="J8" s="21">
        <f>J5</f>
        <v>24.374458303889107</v>
      </c>
      <c r="K8" s="21"/>
      <c r="L8" s="21">
        <f>L5</f>
        <v>0</v>
      </c>
      <c r="M8" s="21">
        <f>M5</f>
        <v>0</v>
      </c>
      <c r="N8" s="21">
        <f>N5</f>
        <v>2845.8491253718571</v>
      </c>
      <c r="O8" s="21">
        <f>O5</f>
        <v>9.9197910969351586</v>
      </c>
      <c r="P8" s="21">
        <f>P5</f>
        <v>10.533959307685024</v>
      </c>
    </row>
    <row r="9" spans="1:16">
      <c r="B9" s="19"/>
      <c r="C9" s="19"/>
      <c r="D9" s="254"/>
      <c r="E9" s="19"/>
      <c r="F9" s="19"/>
      <c r="G9" s="19"/>
      <c r="H9" s="19"/>
      <c r="I9" s="19"/>
      <c r="J9" s="19"/>
      <c r="K9" s="19"/>
      <c r="L9" s="19"/>
      <c r="M9" s="19"/>
      <c r="N9" s="19"/>
      <c r="O9" s="19"/>
      <c r="P9" s="19"/>
    </row>
    <row r="10" spans="1:16">
      <c r="A10" s="24" t="s">
        <v>213</v>
      </c>
      <c r="B10" s="25">
        <f ca="1">'EF ele_warmte'!B12</f>
        <v>0.21420687377763403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1445.1079010494407</v>
      </c>
      <c r="C12" s="23">
        <f ca="1">C10*C8</f>
        <v>0</v>
      </c>
      <c r="D12" s="23">
        <f>D8*D10</f>
        <v>4981.1467524398959</v>
      </c>
      <c r="E12" s="23">
        <f>E10*E8</f>
        <v>48.691553925482964</v>
      </c>
      <c r="F12" s="23">
        <f>F10*F8</f>
        <v>1300.8594537932408</v>
      </c>
      <c r="G12" s="23"/>
      <c r="H12" s="23"/>
      <c r="I12" s="23"/>
      <c r="J12" s="23">
        <f>J10*J8</f>
        <v>8.6285582395767424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2273</v>
      </c>
      <c r="C26" s="36"/>
      <c r="D26" s="225"/>
    </row>
    <row r="27" spans="1:5" s="15" customFormat="1">
      <c r="A27" s="227" t="s">
        <v>817</v>
      </c>
      <c r="B27" s="37">
        <f>SUM(HH_hh_gas_aantal,HH_rest_gas_aantal)</f>
        <v>2028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1926.6</v>
      </c>
      <c r="C31" s="34" t="s">
        <v>110</v>
      </c>
      <c r="D31" s="171"/>
    </row>
    <row r="32" spans="1:5">
      <c r="A32" s="168" t="s">
        <v>72</v>
      </c>
      <c r="B32" s="33">
        <f>IF((B21*($B$26-($B$27-0.05*$B$27)-$B$60))&lt;0,0,B21*($B$26-($B$27-0.05*$B$27)-$B$60))</f>
        <v>5.3161754042857616</v>
      </c>
      <c r="C32" s="34" t="s">
        <v>110</v>
      </c>
      <c r="D32" s="171"/>
    </row>
    <row r="33" spans="1:6">
      <c r="A33" s="168" t="s">
        <v>73</v>
      </c>
      <c r="B33" s="33">
        <f>IF((B22*($B$26-($B$27-0.05*$B$27)-$B$60))&lt;0,0,B22*($B$26-($B$27-0.05*$B$27)-$B$60))</f>
        <v>86.32415976464965</v>
      </c>
      <c r="C33" s="34" t="s">
        <v>110</v>
      </c>
      <c r="D33" s="171"/>
    </row>
    <row r="34" spans="1:6">
      <c r="A34" s="168" t="s">
        <v>74</v>
      </c>
      <c r="B34" s="33">
        <f>IF((B24*($B$26-($B$27-0.05*$B$27)-$B$60))&lt;0,0,B24*($B$26-($B$27-0.05*$B$27)-$B$60))</f>
        <v>16.535234542378124</v>
      </c>
      <c r="C34" s="33">
        <f>B26*C24</f>
        <v>465.45107499940514</v>
      </c>
      <c r="D34" s="230"/>
    </row>
    <row r="35" spans="1:6">
      <c r="A35" s="168" t="s">
        <v>76</v>
      </c>
      <c r="B35" s="33">
        <f>IF((B19*($B$26-($B$27-0.05*$B$27)-$B$60))&lt;0,0,B19*($B$26-($B$27-0.05*$B$27)-$B$60))</f>
        <v>2.310928774133949</v>
      </c>
      <c r="C35" s="33">
        <f>B35/2</f>
        <v>1.1554643870669745</v>
      </c>
      <c r="D35" s="230"/>
    </row>
    <row r="36" spans="1:6">
      <c r="A36" s="168" t="s">
        <v>77</v>
      </c>
      <c r="B36" s="33">
        <f>IF((B18*($B$26-($B$27-0.05*$B$27)-$B$60))&lt;0,0,B18*($B$26-($B$27-0.05*$B$27)-$B$60))</f>
        <v>234.91350151455251</v>
      </c>
      <c r="C36" s="34" t="s">
        <v>110</v>
      </c>
      <c r="D36" s="171"/>
    </row>
    <row r="37" spans="1:6">
      <c r="A37" s="168" t="s">
        <v>78</v>
      </c>
      <c r="B37" s="33">
        <f>B60</f>
        <v>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18027.989428934059</v>
      </c>
      <c r="C5" s="17">
        <f>IF(ISERROR('Eigen informatie GS &amp; warmtenet'!B60),0,'Eigen informatie GS &amp; warmtenet'!B60)</f>
        <v>0</v>
      </c>
      <c r="D5" s="30">
        <f>SUM(D6:D12)</f>
        <v>18262.784423547517</v>
      </c>
      <c r="E5" s="17">
        <f>SUM(E6:E12)</f>
        <v>46.00804975528964</v>
      </c>
      <c r="F5" s="17">
        <f>SUM(F6:F12)</f>
        <v>1941.1991079214313</v>
      </c>
      <c r="G5" s="18"/>
      <c r="H5" s="17"/>
      <c r="I5" s="17"/>
      <c r="J5" s="17">
        <f>SUM(J6:J12)</f>
        <v>5.4537243469087544E-3</v>
      </c>
      <c r="K5" s="17"/>
      <c r="L5" s="17"/>
      <c r="M5" s="17"/>
      <c r="N5" s="17">
        <f>SUM(N6:N12)</f>
        <v>208.00708112429589</v>
      </c>
      <c r="O5" s="17">
        <f>B38*B39*B40</f>
        <v>0</v>
      </c>
      <c r="P5" s="17">
        <f>B46*B47*B48/1000-B46*B47*B48/1000/B49</f>
        <v>0</v>
      </c>
      <c r="R5" s="32"/>
    </row>
    <row r="6" spans="1:18">
      <c r="A6" s="32" t="s">
        <v>53</v>
      </c>
      <c r="B6" s="37">
        <f>B26</f>
        <v>4342.5094182169105</v>
      </c>
      <c r="C6" s="33"/>
      <c r="D6" s="37">
        <f>IF(ISERROR(TER_kantoor_gas_kWh/1000),0,TER_kantoor_gas_kWh/1000)*0.903</f>
        <v>5318.8721433789115</v>
      </c>
      <c r="E6" s="33">
        <f>$C$26*'E Balans VL '!I12/100/3.6*1000000</f>
        <v>1.0403620368102389</v>
      </c>
      <c r="F6" s="33">
        <f>$C$26*('E Balans VL '!L12+'E Balans VL '!N12)/100/3.6*1000000</f>
        <v>411.79506771594424</v>
      </c>
      <c r="G6" s="34"/>
      <c r="H6" s="33"/>
      <c r="I6" s="33"/>
      <c r="J6" s="33">
        <f>$C$26*('E Balans VL '!D12+'E Balans VL '!E12)/100/3.6*1000000</f>
        <v>0</v>
      </c>
      <c r="K6" s="33"/>
      <c r="L6" s="33"/>
      <c r="M6" s="33"/>
      <c r="N6" s="33">
        <f>$C$26*'E Balans VL '!Y12/100/3.6*1000000</f>
        <v>2.2057701738179238</v>
      </c>
      <c r="O6" s="33"/>
      <c r="P6" s="33"/>
      <c r="R6" s="32"/>
    </row>
    <row r="7" spans="1:18">
      <c r="A7" s="32" t="s">
        <v>52</v>
      </c>
      <c r="B7" s="37">
        <f t="shared" ref="B7:B12" si="0">B27</f>
        <v>2003.42717304291</v>
      </c>
      <c r="C7" s="33"/>
      <c r="D7" s="37">
        <f>IF(ISERROR(TER_horeca_gas_kWh/1000),0,TER_horeca_gas_kWh/1000)*0.903</f>
        <v>1693.5700496221605</v>
      </c>
      <c r="E7" s="33">
        <f>$C$27*'E Balans VL '!I9/100/3.6*1000000</f>
        <v>0</v>
      </c>
      <c r="F7" s="33">
        <f>$C$27*('E Balans VL '!L9+'E Balans VL '!N9)/100/3.6*1000000</f>
        <v>164.27631875470291</v>
      </c>
      <c r="G7" s="34"/>
      <c r="H7" s="33"/>
      <c r="I7" s="33"/>
      <c r="J7" s="33">
        <f>$C$27*('E Balans VL '!D9+'E Balans VL '!E9)/100/3.6*1000000</f>
        <v>0</v>
      </c>
      <c r="K7" s="33"/>
      <c r="L7" s="33"/>
      <c r="M7" s="33"/>
      <c r="N7" s="33">
        <f>$C$27*'E Balans VL '!Y9/100/3.6*1000000</f>
        <v>0.61413092033870476</v>
      </c>
      <c r="O7" s="33"/>
      <c r="P7" s="33"/>
      <c r="R7" s="32"/>
    </row>
    <row r="8" spans="1:18">
      <c r="A8" s="6" t="s">
        <v>51</v>
      </c>
      <c r="B8" s="37">
        <f t="shared" si="0"/>
        <v>10540.176148593901</v>
      </c>
      <c r="C8" s="33"/>
      <c r="D8" s="37">
        <f>IF(ISERROR(TER_handel_gas_kWh/1000),0,TER_handel_gas_kWh/1000)*0.903</f>
        <v>9273.3680663391078</v>
      </c>
      <c r="E8" s="33">
        <f>$C$28*'E Balans VL '!I13/100/3.6*1000000</f>
        <v>37.042958396334285</v>
      </c>
      <c r="F8" s="33">
        <f>$C$28*('E Balans VL '!L13+'E Balans VL '!N13)/100/3.6*1000000</f>
        <v>964.40718920649681</v>
      </c>
      <c r="G8" s="34"/>
      <c r="H8" s="33"/>
      <c r="I8" s="33"/>
      <c r="J8" s="33">
        <f>$C$28*('E Balans VL '!D13+'E Balans VL '!E13)/100/3.6*1000000</f>
        <v>0</v>
      </c>
      <c r="K8" s="33"/>
      <c r="L8" s="33"/>
      <c r="M8" s="33"/>
      <c r="N8" s="33">
        <f>$C$28*'E Balans VL '!Y13/100/3.6*1000000</f>
        <v>3.8171980294552776</v>
      </c>
      <c r="O8" s="33"/>
      <c r="P8" s="33"/>
      <c r="R8" s="32"/>
    </row>
    <row r="9" spans="1:18">
      <c r="A9" s="32" t="s">
        <v>50</v>
      </c>
      <c r="B9" s="37">
        <f t="shared" si="0"/>
        <v>577.75099741000599</v>
      </c>
      <c r="C9" s="33"/>
      <c r="D9" s="37">
        <f>IF(ISERROR(TER_gezond_gas_kWh/1000),0,TER_gezond_gas_kWh/1000)*0.903</f>
        <v>1118.7712787167338</v>
      </c>
      <c r="E9" s="33">
        <f>$C$29*'E Balans VL '!I10/100/3.6*1000000</f>
        <v>0</v>
      </c>
      <c r="F9" s="33">
        <f>$C$29*('E Balans VL '!L10+'E Balans VL '!N10)/100/3.6*1000000</f>
        <v>70.821663070782733</v>
      </c>
      <c r="G9" s="34"/>
      <c r="H9" s="33"/>
      <c r="I9" s="33"/>
      <c r="J9" s="33">
        <f>$C$29*('E Balans VL '!D10+'E Balans VL '!E10)/100/3.6*1000000</f>
        <v>0</v>
      </c>
      <c r="K9" s="33"/>
      <c r="L9" s="33"/>
      <c r="M9" s="33"/>
      <c r="N9" s="33">
        <f>$C$29*'E Balans VL '!Y10/100/3.6*1000000</f>
        <v>4.2605109973226343</v>
      </c>
      <c r="O9" s="33"/>
      <c r="P9" s="33"/>
      <c r="R9" s="32"/>
    </row>
    <row r="10" spans="1:18">
      <c r="A10" s="32" t="s">
        <v>49</v>
      </c>
      <c r="B10" s="37">
        <f t="shared" si="0"/>
        <v>549.16896575303895</v>
      </c>
      <c r="C10" s="33"/>
      <c r="D10" s="37">
        <f>IF(ISERROR(TER_ander_gas_kWh/1000),0,TER_ander_gas_kWh/1000)*0.903</f>
        <v>858.20288549060069</v>
      </c>
      <c r="E10" s="33">
        <f>$C$30*'E Balans VL '!I14/100/3.6*1000000</f>
        <v>7.8653117610058407</v>
      </c>
      <c r="F10" s="33">
        <f>$C$30*('E Balans VL '!L14+'E Balans VL '!N14)/100/3.6*1000000</f>
        <v>326.93895797531627</v>
      </c>
      <c r="G10" s="34"/>
      <c r="H10" s="33"/>
      <c r="I10" s="33"/>
      <c r="J10" s="33">
        <f>$C$30*('E Balans VL '!D14+'E Balans VL '!E14)/100/3.6*1000000</f>
        <v>5.4234939141842801E-3</v>
      </c>
      <c r="K10" s="33"/>
      <c r="L10" s="33"/>
      <c r="M10" s="33"/>
      <c r="N10" s="33">
        <f>$C$30*'E Balans VL '!Y14/100/3.6*1000000</f>
        <v>196.00221797841002</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14.9567259172922</v>
      </c>
      <c r="C12" s="33"/>
      <c r="D12" s="37">
        <f>IF(ISERROR(TER_rest_gas_kWh/1000),0,TER_rest_gas_kWh/1000)*0.903</f>
        <v>0</v>
      </c>
      <c r="E12" s="33">
        <f>$C$32*'E Balans VL '!I8/100/3.6*1000000</f>
        <v>5.9417561139279013E-2</v>
      </c>
      <c r="F12" s="33">
        <f>$C$32*('E Balans VL '!L8+'E Balans VL '!N8)/100/3.6*1000000</f>
        <v>2.9599111981883728</v>
      </c>
      <c r="G12" s="34"/>
      <c r="H12" s="33"/>
      <c r="I12" s="33"/>
      <c r="J12" s="33">
        <f>$C$32*('E Balans VL '!D8+'E Balans VL '!E8)/100/3.6*1000000</f>
        <v>3.023043272447456E-5</v>
      </c>
      <c r="K12" s="33"/>
      <c r="L12" s="33"/>
      <c r="M12" s="33"/>
      <c r="N12" s="33">
        <f>$C$32*'E Balans VL '!Y8/100/3.6*1000000</f>
        <v>1.1072530249513357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18027.989428934059</v>
      </c>
      <c r="C16" s="21">
        <f t="shared" ca="1" si="1"/>
        <v>0</v>
      </c>
      <c r="D16" s="21">
        <f t="shared" ca="1" si="1"/>
        <v>18262.784423547517</v>
      </c>
      <c r="E16" s="21">
        <f t="shared" si="1"/>
        <v>46.00804975528964</v>
      </c>
      <c r="F16" s="21">
        <f t="shared" ca="1" si="1"/>
        <v>1941.1991079214313</v>
      </c>
      <c r="G16" s="21">
        <f t="shared" si="1"/>
        <v>0</v>
      </c>
      <c r="H16" s="21">
        <f t="shared" si="1"/>
        <v>0</v>
      </c>
      <c r="I16" s="21">
        <f t="shared" si="1"/>
        <v>0</v>
      </c>
      <c r="J16" s="21">
        <f t="shared" si="1"/>
        <v>5.4537243469087544E-3</v>
      </c>
      <c r="K16" s="21">
        <f t="shared" si="1"/>
        <v>0</v>
      </c>
      <c r="L16" s="21">
        <f t="shared" ca="1" si="1"/>
        <v>0</v>
      </c>
      <c r="M16" s="21">
        <f t="shared" si="1"/>
        <v>0</v>
      </c>
      <c r="N16" s="21">
        <f t="shared" ca="1" si="1"/>
        <v>208.00708112429589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0.21420687377763403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3861.7192560681988</v>
      </c>
      <c r="C20" s="23">
        <f t="shared" ref="C20:P20" ca="1" si="2">C16*C18</f>
        <v>0</v>
      </c>
      <c r="D20" s="23">
        <f t="shared" ca="1" si="2"/>
        <v>3689.0824535565985</v>
      </c>
      <c r="E20" s="23">
        <f t="shared" si="2"/>
        <v>10.443827294450749</v>
      </c>
      <c r="F20" s="23">
        <f t="shared" ca="1" si="2"/>
        <v>518.30016181502219</v>
      </c>
      <c r="G20" s="23">
        <f t="shared" si="2"/>
        <v>0</v>
      </c>
      <c r="H20" s="23">
        <f t="shared" si="2"/>
        <v>0</v>
      </c>
      <c r="I20" s="23">
        <f t="shared" si="2"/>
        <v>0</v>
      </c>
      <c r="J20" s="23">
        <f t="shared" si="2"/>
        <v>1.9306184188056989E-3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4342.5094182169105</v>
      </c>
      <c r="C26" s="39">
        <f>IF(ISERROR(B26*3.6/1000000/'E Balans VL '!Z12*100),0,B26*3.6/1000000/'E Balans VL '!Z12*100)</f>
        <v>0.12247026514088045</v>
      </c>
      <c r="D26" s="233" t="s">
        <v>691</v>
      </c>
      <c r="F26" s="6"/>
    </row>
    <row r="27" spans="1:18">
      <c r="A27" s="228" t="s">
        <v>52</v>
      </c>
      <c r="B27" s="33">
        <f>IF(ISERROR(TER_horeca_ele_kWh/1000),0,TER_horeca_ele_kWh/1000)</f>
        <v>2003.42717304291</v>
      </c>
      <c r="C27" s="39">
        <f>IF(ISERROR(B27*3.6/1000000/'E Balans VL '!Z9*100),0,B27*3.6/1000000/'E Balans VL '!Z9*100)</f>
        <v>0.14852951342495652</v>
      </c>
      <c r="D27" s="233" t="s">
        <v>691</v>
      </c>
      <c r="F27" s="6"/>
    </row>
    <row r="28" spans="1:18">
      <c r="A28" s="168" t="s">
        <v>51</v>
      </c>
      <c r="B28" s="33">
        <f>IF(ISERROR(TER_handel_ele_kWh/1000),0,TER_handel_ele_kWh/1000)</f>
        <v>10540.176148593901</v>
      </c>
      <c r="C28" s="39">
        <f>IF(ISERROR(B28*3.6/1000000/'E Balans VL '!Z13*100),0,B28*3.6/1000000/'E Balans VL '!Z13*100)</f>
        <v>0.3157586172074372</v>
      </c>
      <c r="D28" s="233" t="s">
        <v>691</v>
      </c>
      <c r="F28" s="6"/>
    </row>
    <row r="29" spans="1:18">
      <c r="A29" s="228" t="s">
        <v>50</v>
      </c>
      <c r="B29" s="33">
        <f>IF(ISERROR(TER_gezond_ele_kWh/1000),0,TER_gezond_ele_kWh/1000)</f>
        <v>577.75099741000599</v>
      </c>
      <c r="C29" s="39">
        <f>IF(ISERROR(B29*3.6/1000000/'E Balans VL '!Z10*100),0,B29*3.6/1000000/'E Balans VL '!Z10*100)</f>
        <v>5.7128245072313982E-2</v>
      </c>
      <c r="D29" s="233" t="s">
        <v>691</v>
      </c>
      <c r="F29" s="6"/>
    </row>
    <row r="30" spans="1:18">
      <c r="A30" s="228" t="s">
        <v>49</v>
      </c>
      <c r="B30" s="33">
        <f>IF(ISERROR(TER_ander_ele_kWh/1000),0,TER_ander_ele_kWh/1000)</f>
        <v>549.16896575303895</v>
      </c>
      <c r="C30" s="39">
        <f>IF(ISERROR(B30*3.6/1000000/'E Balans VL '!Z14*100),0,B30*3.6/1000000/'E Balans VL '!Z14*100)</f>
        <v>2.2212261764577256E-2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14.9567259172922</v>
      </c>
      <c r="C32" s="39">
        <f>IF(ISERROR(B32*3.6/1000000/'E Balans VL '!Z8*100),0,B32*3.6/1000000/'E Balans VL '!Z8*100)</f>
        <v>1.2381064597054425E-4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23959.261607618959</v>
      </c>
      <c r="C5" s="17">
        <f>IF(ISERROR('Eigen informatie GS &amp; warmtenet'!B61),0,'Eigen informatie GS &amp; warmtenet'!B61)</f>
        <v>0</v>
      </c>
      <c r="D5" s="30">
        <f>SUM(D6:D15)</f>
        <v>56682.23688929301</v>
      </c>
      <c r="E5" s="17">
        <f>SUM(E6:E15)</f>
        <v>129.39896198901189</v>
      </c>
      <c r="F5" s="17">
        <f>SUM(F6:F15)</f>
        <v>11926.467041115635</v>
      </c>
      <c r="G5" s="18"/>
      <c r="H5" s="17"/>
      <c r="I5" s="17"/>
      <c r="J5" s="17">
        <f>SUM(J6:J15)</f>
        <v>6.0677697424281227</v>
      </c>
      <c r="K5" s="17"/>
      <c r="L5" s="17"/>
      <c r="M5" s="17"/>
      <c r="N5" s="17">
        <f>SUM(N6:N15)</f>
        <v>853.54918130298609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854.81100428767002</v>
      </c>
      <c r="C8" s="33"/>
      <c r="D8" s="37">
        <f>IF( ISERROR(IND_metaal_Gas_kWH/1000),0,IND_metaal_Gas_kWH/1000)*0.903</f>
        <v>978.92376401659089</v>
      </c>
      <c r="E8" s="33">
        <f>C30*'E Balans VL '!I18/100/3.6*1000000</f>
        <v>4.3101062304661539</v>
      </c>
      <c r="F8" s="33">
        <f>C30*'E Balans VL '!L18/100/3.6*1000000+C30*'E Balans VL '!N18/100/3.6*1000000</f>
        <v>58.402434577358413</v>
      </c>
      <c r="G8" s="34"/>
      <c r="H8" s="33"/>
      <c r="I8" s="33"/>
      <c r="J8" s="40">
        <f>C30*'E Balans VL '!D18/100/3.6*1000000+C30*'E Balans VL '!E18/100/3.6*1000000</f>
        <v>0.7578628716190281</v>
      </c>
      <c r="K8" s="33"/>
      <c r="L8" s="33"/>
      <c r="M8" s="33"/>
      <c r="N8" s="33">
        <f>C30*'E Balans VL '!Y18/100/3.6*1000000</f>
        <v>11.360443319882368</v>
      </c>
      <c r="O8" s="33"/>
      <c r="P8" s="33"/>
      <c r="R8" s="32"/>
    </row>
    <row r="9" spans="1:18">
      <c r="A9" s="6" t="s">
        <v>32</v>
      </c>
      <c r="B9" s="37">
        <f t="shared" si="0"/>
        <v>19044.881700121397</v>
      </c>
      <c r="C9" s="33"/>
      <c r="D9" s="37">
        <f>IF( ISERROR(IND_andere_gas_kWh/1000),0,IND_andere_gas_kWh/1000)*0.903</f>
        <v>54906.324773525543</v>
      </c>
      <c r="E9" s="33">
        <f>C31*'E Balans VL '!I19/100/3.6*1000000</f>
        <v>60.033968249076906</v>
      </c>
      <c r="F9" s="33">
        <f>C31*'E Balans VL '!L19/100/3.6*1000000+C31*'E Balans VL '!N19/100/3.6*1000000</f>
        <v>11658.47557363114</v>
      </c>
      <c r="G9" s="34"/>
      <c r="H9" s="33"/>
      <c r="I9" s="33"/>
      <c r="J9" s="40">
        <f>C31*'E Balans VL '!D19/100/3.6*1000000+C31*'E Balans VL '!E19/100/3.6*1000000</f>
        <v>0</v>
      </c>
      <c r="K9" s="33"/>
      <c r="L9" s="33"/>
      <c r="M9" s="33"/>
      <c r="N9" s="33">
        <f>C31*'E Balans VL '!Y19/100/3.6*1000000</f>
        <v>798.57774922380577</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1478.6183358944502</v>
      </c>
      <c r="C13" s="33"/>
      <c r="D13" s="37">
        <f>IF( ISERROR(IND_papier_gas_kWh/1000),0,IND_papier_gas_kWh/1000)*0.903</f>
        <v>446.68422332580559</v>
      </c>
      <c r="E13" s="33">
        <f>C35*'E Balans VL '!I23/100/3.6*1000000</f>
        <v>0</v>
      </c>
      <c r="F13" s="33">
        <f>C35*'E Balans VL '!L23/100/3.6*1000000+C35*'E Balans VL '!N23/100/3.6*1000000</f>
        <v>6.4060621708568688E-2</v>
      </c>
      <c r="G13" s="34"/>
      <c r="H13" s="33"/>
      <c r="I13" s="33"/>
      <c r="J13" s="40">
        <f>C35*'E Balans VL '!D23/100/3.6*1000000+C35*'E Balans VL '!E23/100/3.6*1000000</f>
        <v>4.0742987072202051E-2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2580.9505673154404</v>
      </c>
      <c r="C15" s="33"/>
      <c r="D15" s="37">
        <f>IF( ISERROR(IND_rest_gas_kWh/1000),0,IND_rest_gas_kWh/1000)*0.903</f>
        <v>350.30412842507292</v>
      </c>
      <c r="E15" s="33">
        <f>C37*'E Balans VL '!I15/100/3.6*1000000</f>
        <v>65.054887509468841</v>
      </c>
      <c r="F15" s="33">
        <f>C37*'E Balans VL '!L15/100/3.6*1000000+C37*'E Balans VL '!N15/100/3.6*1000000</f>
        <v>209.52497228542762</v>
      </c>
      <c r="G15" s="34"/>
      <c r="H15" s="33"/>
      <c r="I15" s="33"/>
      <c r="J15" s="40">
        <f>C37*'E Balans VL '!D15/100/3.6*1000000+C37*'E Balans VL '!E15/100/3.6*1000000</f>
        <v>5.2691638837368924</v>
      </c>
      <c r="K15" s="33"/>
      <c r="L15" s="33"/>
      <c r="M15" s="33"/>
      <c r="N15" s="33">
        <f>C37*'E Balans VL '!Y15/100/3.6*1000000</f>
        <v>43.610988759297932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23959.261607618959</v>
      </c>
      <c r="C18" s="21">
        <f>C5+C16</f>
        <v>0</v>
      </c>
      <c r="D18" s="21">
        <f>MAX((D5+D16),0)</f>
        <v>56682.23688929301</v>
      </c>
      <c r="E18" s="21">
        <f>MAX((E5+E16),0)</f>
        <v>129.39896198901189</v>
      </c>
      <c r="F18" s="21">
        <f>MAX((F5+F16),0)</f>
        <v>11926.467041115635</v>
      </c>
      <c r="G18" s="21"/>
      <c r="H18" s="21"/>
      <c r="I18" s="21"/>
      <c r="J18" s="21">
        <f>MAX((J5+J16),0)</f>
        <v>6.0677697424281227</v>
      </c>
      <c r="K18" s="21"/>
      <c r="L18" s="21">
        <f>MAX((L5+L16),0)</f>
        <v>0</v>
      </c>
      <c r="M18" s="21"/>
      <c r="N18" s="21">
        <f>MAX((N5+N16),0)</f>
        <v>853.54918130298609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0.21420687377763403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5132.2385269885472</v>
      </c>
      <c r="C22" s="23">
        <f ca="1">C18*C20</f>
        <v>0</v>
      </c>
      <c r="D22" s="23">
        <f>D18*D20</f>
        <v>11449.811851637189</v>
      </c>
      <c r="E22" s="23">
        <f>E18*E20</f>
        <v>29.373564371505701</v>
      </c>
      <c r="F22" s="23">
        <f>F18*F20</f>
        <v>3184.3666999778748</v>
      </c>
      <c r="G22" s="23"/>
      <c r="H22" s="23"/>
      <c r="I22" s="23"/>
      <c r="J22" s="23">
        <f>J18*J20</f>
        <v>2.1479904888195551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854.81100428767002</v>
      </c>
      <c r="C30" s="39">
        <f>IF(ISERROR(B30*3.6/1000000/'E Balans VL '!Z18*100),0,B30*3.6/1000000/'E Balans VL '!Z18*100)</f>
        <v>4.2430891723615756E-2</v>
      </c>
      <c r="D30" s="233" t="s">
        <v>691</v>
      </c>
    </row>
    <row r="31" spans="1:18">
      <c r="A31" s="6" t="s">
        <v>32</v>
      </c>
      <c r="B31" s="37">
        <f>IF( ISERROR(IND_ander_ele_kWh/1000),0,IND_ander_ele_kWh/1000)</f>
        <v>19044.881700121397</v>
      </c>
      <c r="C31" s="39">
        <f>IF(ISERROR(B31*3.6/1000000/'E Balans VL '!Z19*100),0,B31*3.6/1000000/'E Balans VL '!Z19*100)</f>
        <v>0.64266716536675794</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1478.6183358944502</v>
      </c>
      <c r="C35" s="39">
        <f>IF(ISERROR(B35*3.6/1000000/'E Balans VL '!Z22*100),0,B35*3.6/1000000/'E Balans VL '!Z22*100)</f>
        <v>0.20977270491775779</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2580.9505673154404</v>
      </c>
      <c r="C37" s="39">
        <f>IF(ISERROR(B37*3.6/1000000/'E Balans VL '!Z15*100),0,B37*3.6/1000000/'E Balans VL '!Z15*100)</f>
        <v>9.6721876217120313E-3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0.87015281443339998</v>
      </c>
      <c r="C5" s="17">
        <f>'Eigen informatie GS &amp; warmtenet'!B62</f>
        <v>0</v>
      </c>
      <c r="D5" s="30">
        <f>IF(ISERROR(SUM(LB_lb_gas_kWh,LB_rest_gas_kWh)/1000),0,SUM(LB_lb_gas_kWh,LB_rest_gas_kWh)/1000)*0.903</f>
        <v>0</v>
      </c>
      <c r="E5" s="17">
        <f>B17*'E Balans VL '!I25/3.6*1000000/100</f>
        <v>3.245066005781299E-2</v>
      </c>
      <c r="F5" s="17">
        <f>B17*('E Balans VL '!L25/3.6*1000000+'E Balans VL '!N25/3.6*1000000)/100</f>
        <v>2.8231119703048946</v>
      </c>
      <c r="G5" s="18"/>
      <c r="H5" s="17"/>
      <c r="I5" s="17"/>
      <c r="J5" s="17">
        <f>('E Balans VL '!D25+'E Balans VL '!E25)/3.6*1000000*landbouw!B17/100</f>
        <v>0.2284194096524044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0.87015281443339998</v>
      </c>
      <c r="C8" s="21">
        <f>C5+C6</f>
        <v>0</v>
      </c>
      <c r="D8" s="21">
        <f>MAX((D5+D6),0)</f>
        <v>0</v>
      </c>
      <c r="E8" s="21">
        <f>MAX((E5+E6),0)</f>
        <v>3.245066005781299E-2</v>
      </c>
      <c r="F8" s="21">
        <f>MAX((F5+F6),0)</f>
        <v>2.8231119703048946</v>
      </c>
      <c r="G8" s="21"/>
      <c r="H8" s="21"/>
      <c r="I8" s="21"/>
      <c r="J8" s="21">
        <f>MAX((J5+J6),0)</f>
        <v>0.2284194096524044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0.21420687377763403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0.18639271408858832</v>
      </c>
      <c r="C12" s="23">
        <f ca="1">C8*C10</f>
        <v>0</v>
      </c>
      <c r="D12" s="23">
        <f>D8*D10</f>
        <v>0</v>
      </c>
      <c r="E12" s="23">
        <f>E8*E10</f>
        <v>7.3662998331235491E-3</v>
      </c>
      <c r="F12" s="23">
        <f>F8*F10</f>
        <v>0.7537708960714069</v>
      </c>
      <c r="G12" s="23"/>
      <c r="H12" s="23"/>
      <c r="I12" s="23"/>
      <c r="J12" s="23">
        <f>J8*J10</f>
        <v>8.0860471016951152E-2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1.1951321838268737E-4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1.1230623443864862E-2</v>
      </c>
      <c r="C29" s="243">
        <f>B29*'GWP N2O_CH4'!B4</f>
        <v>3.4814932675981072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2.5594911554046099E-6</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5.3372966596719593E-4</v>
      </c>
      <c r="C5" s="434" t="s">
        <v>210</v>
      </c>
      <c r="D5" s="419">
        <f>SUM(D6:D11)</f>
        <v>8.8046116830563844E-4</v>
      </c>
      <c r="E5" s="419">
        <f>SUM(E6:E11)</f>
        <v>5.3794950966051672E-4</v>
      </c>
      <c r="F5" s="432" t="s">
        <v>210</v>
      </c>
      <c r="G5" s="419">
        <f>SUM(G6:G11)</f>
        <v>0.19219314190307929</v>
      </c>
      <c r="H5" s="419">
        <f>SUM(H6:H11)</f>
        <v>5.4762988572716748E-2</v>
      </c>
      <c r="I5" s="434" t="s">
        <v>210</v>
      </c>
      <c r="J5" s="434" t="s">
        <v>210</v>
      </c>
      <c r="K5" s="434" t="s">
        <v>210</v>
      </c>
      <c r="L5" s="434" t="s">
        <v>210</v>
      </c>
      <c r="M5" s="419">
        <f>SUM(M6:M11)</f>
        <v>1.4627686951552303E-2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9.4166275631925805E-5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1.6363137942542008E-4</v>
      </c>
      <c r="E6" s="885">
        <f>vkm_GW_PW*SUMIFS(TableVerdeelsleutelVkm[LPG],TableVerdeelsleutelVkm[Voertuigtype],"Lichte voertuigen")*SUMIFS(TableECFTransport[EnergieConsumptieFactor (PJ per km)],TableECFTransport[Index],CONCATENATE($A6,"_LPG_LPG"))</f>
        <v>9.0989721139751679E-5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2.7343276327581458E-2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9.9694499584288589E-3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2.2325126406900469E-3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1.2959023475744033E-7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5.3634155563906652E-3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5.456292063302086E-8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3.0196856461946859E-4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1.1875017149094876E-4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2.6494851295773633E-4</v>
      </c>
      <c r="E8" s="422">
        <f>vkm_NGW_PW*SUMIFS(TableVerdeelsleutelVkm[LPG],TableVerdeelsleutelVkm[Voertuigtype],"Lichte voertuigen")*SUMIFS(TableECFTransport[EnergieConsumptieFactor (PJ per km)],TableECFTransport[Index],CONCATENATE($A8,"_LPG_LPG"))</f>
        <v>1.4111102900653483E-4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3.902551641731395E-2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1.5944671755513305E-2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3.3056222569098044E-3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2.2268935001131906E-8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1.1868775705003978E-3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1.1317258254006006E-8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6.6822984403258227E-5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3.1974785860070572E-4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4.5188127592248197E-4</v>
      </c>
      <c r="E10" s="422">
        <f>vkm_SW_PW*SUMIFS(TableVerdeelsleutelVkm[LPG],TableVerdeelsleutelVkm[Voertuigtype],"Lichte voertuigen")*SUMIFS(TableECFTransport[EnergieConsumptieFactor (PJ per km)],TableECFTransport[Index],CONCATENATE($A10,"_LPG_LPG"))</f>
        <v>3.0584875951423021E-4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8.3556493129328294E-2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2.8848405097435772E-2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6.7098043868906842E-3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9.1350107385703598E-7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3.5717562901964532E-2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3.9588115992183998E-7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2.010956118039042E-3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148.25824054644329</v>
      </c>
      <c r="C14" s="21"/>
      <c r="D14" s="21">
        <f t="shared" ref="D14:M14" si="0">((D5)*10^9/3600)+D12</f>
        <v>244.57254675156625</v>
      </c>
      <c r="E14" s="21">
        <f t="shared" si="0"/>
        <v>149.43041935014355</v>
      </c>
      <c r="F14" s="21"/>
      <c r="G14" s="21">
        <f t="shared" si="0"/>
        <v>53386.983861966473</v>
      </c>
      <c r="H14" s="21">
        <f t="shared" si="0"/>
        <v>15211.941270199097</v>
      </c>
      <c r="I14" s="21"/>
      <c r="J14" s="21"/>
      <c r="K14" s="21"/>
      <c r="L14" s="21"/>
      <c r="M14" s="21">
        <f t="shared" si="0"/>
        <v>4063.2463754311952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0.21420687377763403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31.757934219226083</v>
      </c>
      <c r="C18" s="23"/>
      <c r="D18" s="23">
        <f t="shared" ref="D18:M18" si="1">D14*D16</f>
        <v>49.403654443816386</v>
      </c>
      <c r="E18" s="23">
        <f t="shared" si="1"/>
        <v>33.920705192482586</v>
      </c>
      <c r="F18" s="23"/>
      <c r="G18" s="23">
        <f t="shared" si="1"/>
        <v>14254.32469114505</v>
      </c>
      <c r="H18" s="23">
        <f t="shared" si="1"/>
        <v>3787.7733762795751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6.0764849758291303E-5</v>
      </c>
      <c r="C50" s="315">
        <f t="shared" ref="C50:P50" si="2">SUM(C51:C52)</f>
        <v>0</v>
      </c>
      <c r="D50" s="315">
        <f t="shared" si="2"/>
        <v>0</v>
      </c>
      <c r="E50" s="315">
        <f t="shared" si="2"/>
        <v>0</v>
      </c>
      <c r="F50" s="315">
        <f t="shared" si="2"/>
        <v>0</v>
      </c>
      <c r="G50" s="315">
        <f t="shared" si="2"/>
        <v>4.3372854311946596E-3</v>
      </c>
      <c r="H50" s="315">
        <f t="shared" si="2"/>
        <v>0</v>
      </c>
      <c r="I50" s="315">
        <f t="shared" si="2"/>
        <v>0</v>
      </c>
      <c r="J50" s="315">
        <f t="shared" si="2"/>
        <v>0</v>
      </c>
      <c r="K50" s="315">
        <f t="shared" si="2"/>
        <v>0</v>
      </c>
      <c r="L50" s="315">
        <f t="shared" si="2"/>
        <v>0</v>
      </c>
      <c r="M50" s="315">
        <f t="shared" si="2"/>
        <v>2.3949880262593413E-4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6.0764849758291303E-5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4.3372854311946596E-3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2.3949880262593413E-4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16.879124932858694</v>
      </c>
      <c r="C54" s="21">
        <f t="shared" ref="C54:P54" si="3">(C50)*10^9/3600</f>
        <v>0</v>
      </c>
      <c r="D54" s="21">
        <f t="shared" si="3"/>
        <v>0</v>
      </c>
      <c r="E54" s="21">
        <f t="shared" si="3"/>
        <v>0</v>
      </c>
      <c r="F54" s="21">
        <f t="shared" si="3"/>
        <v>0</v>
      </c>
      <c r="G54" s="21">
        <f t="shared" si="3"/>
        <v>1204.8015086651831</v>
      </c>
      <c r="H54" s="21">
        <f t="shared" si="3"/>
        <v>0</v>
      </c>
      <c r="I54" s="21">
        <f t="shared" si="3"/>
        <v>0</v>
      </c>
      <c r="J54" s="21">
        <f t="shared" si="3"/>
        <v>0</v>
      </c>
      <c r="K54" s="21">
        <f t="shared" si="3"/>
        <v>0</v>
      </c>
      <c r="L54" s="21">
        <f t="shared" si="3"/>
        <v>0</v>
      </c>
      <c r="M54" s="21">
        <f t="shared" si="3"/>
        <v>66.527445173870589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0.21420687377763403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3.6156245839697778</v>
      </c>
      <c r="C58" s="23">
        <f t="shared" ref="C58:P58" ca="1" si="4">C54*C56</f>
        <v>0</v>
      </c>
      <c r="D58" s="23">
        <f t="shared" si="4"/>
        <v>0</v>
      </c>
      <c r="E58" s="23">
        <f t="shared" si="4"/>
        <v>0</v>
      </c>
      <c r="F58" s="23">
        <f t="shared" si="4"/>
        <v>0</v>
      </c>
      <c r="G58" s="23">
        <f t="shared" si="4"/>
        <v>321.6820028136039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180.57718970644905</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1341.7525690667919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1522.3297587732409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2021-06-29T14:28:06Z</dcterms:modified>
</cp:coreProperties>
</file>