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C35" i="13" s="1"/>
  <c r="B34" i="13"/>
  <c r="B33" i="13"/>
  <c r="B32" i="13"/>
  <c r="C34" i="13"/>
  <c r="P5" i="13"/>
  <c r="P8" i="13" s="1"/>
  <c r="B37" i="13"/>
  <c r="D6" i="17"/>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<sst xmlns="http://schemas.openxmlformats.org/spreadsheetml/2006/main" count="2448" uniqueCount="883">
  <si>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</si>
  <si>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</si>
  <si>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</si>
  <si>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</si>
  <si>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</si>
  <si>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</si>
  <si>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</si>
  <si>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</si>
  <si>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</si>
  <si>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</si>
  <si>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</si>
  <si>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</si>
  <si>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</si>
  <si>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</si>
  <si>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</si>
  <si>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</si>
  <si>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</si>
  <si>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</si>
  <si>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</si>
  <si>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</si>
  <si>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</si>
  <si>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</si>
  <si>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</si>
  <si>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</si>
  <si>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</si>
  <si>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</si>
  <si>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</si>
  <si>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</si>
  <si>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</si>
  <si>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</si>
  <si>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</si>
  <si>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</si>
  <si>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</si>
  <si>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</si>
  <si>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</si>
  <si>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</si>
  <si>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</si>
  <si>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</si>
  <si>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</si>
  <si>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</si>
  <si>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</si>
  <si>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</si>
  <si>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</si>
  <si>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</si>
  <si>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</si>
  <si>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</si>
  <si>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</si>
  <si>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</si>
  <si>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</si>
  <si>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</si>
  <si>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</si>
  <si>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</si>
  <si>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</si>
  <si>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</si>
  <si>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</si>
  <si>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</si>
  <si>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</si>
  <si>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</si>
  <si>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</si>
  <si>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</si>
  <si>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</si>
  <si>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</si>
  <si>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</si>
  <si>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</si>
  <si>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</si>
  <si>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</si>
  <si>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</si>
  <si>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</si>
  <si>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</si>
  <si>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</si>
  <si>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</si>
  <si>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</si>
  <si>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</si>
  <si>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</si>
  <si>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</si>
  <si>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</si>
  <si>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</si>
  <si>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</si>
  <si>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</si>
  <si>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</si>
  <si>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</si>
  <si>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</si>
  <si>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</si>
  <si>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</si>
  <si>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</si>
  <si>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</si>
  <si>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</si>
  <si>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</si>
  <si>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</si>
  <si>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</si>
  <si>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</si>
  <si>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</si>
  <si>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</si>
  <si>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</si>
  <si>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</si>
  <si>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</si>
  <si>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</si>
  <si>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</si>
  <si>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</si>
  <si>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</si>
  <si>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</si>
  <si>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</si>
  <si>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</si>
  <si>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</si>
  <si>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</si>
  <si>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</si>
  <si>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</si>
  <si>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</si>
  <si>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</si>
  <si>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</si>
  <si>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</si>
  <si>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</si>
  <si>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</si>
  <si>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</si>
  <si>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</si>
  <si>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</si>
  <si>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</si>
  <si>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</si>
  <si>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</si>
  <si>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</si>
  <si>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</si>
  <si>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</si>
  <si>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</si>
  <si>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</si>
  <si>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</si>
  <si>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</si>
  <si>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</si>
  <si>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</si>
  <si>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</si>
  <si>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</si>
  <si>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</si>
  <si>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</si>
  <si>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</si>
  <si>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</si>
  <si>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</si>
  <si>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</si>
  <si>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</si>
  <si>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</si>
  <si>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</si>
  <si>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</si>
  <si>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</si>
  <si>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</si>
  <si>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</si>
  <si>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</si>
  <si>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</si>
  <si>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</si>
  <si>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</si>
  <si>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</si>
  <si>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</si>
  <si>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</si>
  <si>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</si>
  <si>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</si>
  <si>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</si>
  <si>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</si>
  <si>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</si>
  <si>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</si>
  <si>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</si>
  <si>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</si>
  <si>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</si>
  <si>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</si>
  <si>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</si>
  <si>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</si>
  <si>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</si>
  <si>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</si>
  <si>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</si>
  <si>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</si>
  <si>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</si>
  <si>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</si>
  <si>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</si>
  <si>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</si>
  <si>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</si>
  <si>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</si>
  <si>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</si>
  <si>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</si>
  <si>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</si>
  <si>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</si>
  <si>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</si>
  <si>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</si>
  <si>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</si>
  <si>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</si>
  <si>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</si>
  <si>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</si>
  <si>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</si>
  <si>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</si>
  <si>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</si>
  <si>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</si>
  <si>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</si>
  <si>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</si>
  <si>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</si>
  <si>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</si>
  <si>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</si>
  <si>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</si>
  <si>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</si>
  <si>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</si>
  <si>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</si>
  <si>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</si>
  <si>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</si>
  <si>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</si>
  <si>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</si>
  <si>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</si>
  <si>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</si>
  <si>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</si>
  <si>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</si>
  <si>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</si>
  <si>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</si>
  <si>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</si>
  <si>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</si>
  <si>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</si>
  <si>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</si>
  <si>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</si>
  <si>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</si>
  <si>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</si>
  <si>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</si>
  <si>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</si>
  <si>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</si>
  <si>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</si>
  <si>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</si>
  <si>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</si>
  <si>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</si>
  <si>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</si>
  <si>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</si>
  <si>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</si>
  <si>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</si>
  <si>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</si>
  <si>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</si>
  <si>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</si>
  <si>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</si>
  <si>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</si>
  <si>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</si>
  <si>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</si>
  <si>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</si>
  <si>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</si>
  <si>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</si>
  <si>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</si>
  <si>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</si>
  <si>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</si>
  <si>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</si>
  <si>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</si>
  <si>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</si>
  <si>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</si>
  <si>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</si>
  <si>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</si>
  <si>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</si>
  <si>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</si>
  <si>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</si>
  <si>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</si>
  <si>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</si>
  <si>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</si>
  <si>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</si>
  <si>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</si>
  <si>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</si>
  <si>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</si>
  <si>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</si>
  <si>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</si>
  <si>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</si>
  <si>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</si>
  <si>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</si>
  <si>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</si>
  <si>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</si>
  <si>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</si>
  <si>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</si>
  <si>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</si>
  <si>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</si>
  <si>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</si>
  <si>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</si>
  <si>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</si>
  <si>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</si>
  <si>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</si>
  <si>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</si>
  <si>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</si>
  <si>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</si>
  <si>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</si>
  <si>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</si>
  <si>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</si>
  <si>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</si>
  <si>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</si>
  <si>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</si>
  <si>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</si>
  <si>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</si>
  <si>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</si>
  <si>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</si>
  <si>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</si>
  <si>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</si>
  <si>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</si>
  <si>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</si>
  <si>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</si>
  <si>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</si>
  <si>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</si>
  <si>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</si>
  <si>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</si>
  <si>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</si>
  <si>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</si>
  <si>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</si>
  <si>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</si>
  <si>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</si>
  <si>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</si>
  <si>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</si>
  <si>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</si>
  <si>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</si>
  <si>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</si>
  <si>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</si>
  <si>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</si>
  <si>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</si>
  <si>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</si>
  <si>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</si>
  <si>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</si>
  <si>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</si>
  <si>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</si>
  <si>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</si>
  <si>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</si>
  <si>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</si>
  <si>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</si>
  <si>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</si>
  <si>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</si>
  <si>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</si>
  <si>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</si>
  <si>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</si>
  <si>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</si>
  <si>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</si>
  <si>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</si>
  <si>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</si>
  <si>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</si>
  <si>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</si>
  <si>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</si>
  <si>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</si>
  <si>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</si>
  <si>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</si>
  <si>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</si>
  <si>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</si>
  <si>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</si>
  <si>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</si>
  <si>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</si>
  <si>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</si>
  <si>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</si>
  <si>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</si>
  <si>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</si>
  <si>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</si>
  <si>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</si>
  <si>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</si>
  <si>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</si>
  <si>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</si>
  <si>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</si>
  <si>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</si>
  <si>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</si>
  <si>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</si>
  <si>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</si>
  <si>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</si>
  <si>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</si>
  <si>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</si>
  <si>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</si>
  <si>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</si>
  <si>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</si>
  <si>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</si>
  <si>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</si>
  <si>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</si>
  <si>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</si>
  <si>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</si>
  <si>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</si>
  <si>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</si>
  <si>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</si>
  <si>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</si>
  <si>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</si>
  <si>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</si>
  <si>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</si>
  <si>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</si>
  <si>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</si>
  <si>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</si>
  <si>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</si>
  <si>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</si>
  <si>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</si>
  <si>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</si>
  <si>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</si>
  <si>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</si>
  <si>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</si>
  <si>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</si>
  <si>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</si>
  <si>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</si>
  <si>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</si>
  <si>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</si>
  <si>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</si>
  <si>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</si>
  <si>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</si>
  <si>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</si>
  <si>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</si>
  <si>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</si>
  <si>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</si>
  <si>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</si>
  <si>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</si>
  <si>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</si>
  <si>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</si>
  <si>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</si>
  <si>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</si>
  <si>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</si>
  <si>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</si>
  <si>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</si>
  <si>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</si>
  <si>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</si>
  <si>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</si>
  <si>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</si>
  <si>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</si>
  <si>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</si>
  <si>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</si>
  <si>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</si>
  <si>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</si>
  <si>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</si>
  <si>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</si>
  <si>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</si>
  <si>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</si>
  <si>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</si>
  <si>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</si>
  <si>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</si>
  <si>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</si>
  <si>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</si>
  <si>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</si>
  <si>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</si>
  <si>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</si>
  <si>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</si>
  <si>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</si>
  <si>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</si>
  <si>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</si>
  <si>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</si>
  <si>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</si>
  <si>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</si>
  <si>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</si>
  <si>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</si>
  <si>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</si>
  <si>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</si>
  <si>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</si>
  <si>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</si>
  <si>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</si>
  <si>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</si>
  <si>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</si>
  <si>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</si>
  <si>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</si>
  <si>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</si>
  <si>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</si>
  <si>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</si>
  <si>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</si>
  <si>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</si>
  <si>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</si>
  <si>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</si>
  <si>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</si>
  <si>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</si>
  <si>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</si>
  <si>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</si>
  <si>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</si>
  <si>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</si>
  <si>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</si>
  <si>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</si>
  <si>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</si>
  <si>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</si>
  <si>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</si>
  <si>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</si>
  <si>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</si>
  <si>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</si>
  <si>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</si>
  <si>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</si>
  <si>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</si>
  <si>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</si>
  <si>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</si>
  <si>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</si>
  <si>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</si>
  <si>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</si>
  <si>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</si>
  <si>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</si>
  <si>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</si>
  <si>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</si>
  <si>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</si>
  <si>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</si>
  <si>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</si>
  <si>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</si>
  <si>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</si>
  <si>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</si>
  <si>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</si>
  <si>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</si>
  <si>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</si>
  <si>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</si>
  <si>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</si>
  <si>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</si>
  <si>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</si>
  <si>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</si>
  <si>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</si>
  <si>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</si>
  <si>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</si>
  <si>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</si>
  <si>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</si>
  <si>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</si>
  <si>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</si>
  <si>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</si>
  <si>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</si>
  <si>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</si>
  <si>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</si>
  <si>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</si>
  <si>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</si>
  <si>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</si>
  <si>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</si>
  <si>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</si>
  <si>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</si>
  <si>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</si>
  <si>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</si>
  <si>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</si>
  <si>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</si>
  <si>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</si>
  <si>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</si>
  <si>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</si>
  <si>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</si>
  <si>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</si>
  <si>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</si>
  <si>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</si>
  <si>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</si>
  <si>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</si>
  <si>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</si>
  <si>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</si>
  <si>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</si>
  <si>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</si>
  <si>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</si>
  <si>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</si>
  <si>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</si>
  <si>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</si>
  <si>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</si>
  <si>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</si>
  <si>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</si>
  <si>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</si>
  <si>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</si>
  <si>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</si>
  <si>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</si>
  <si>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</si>
  <si>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</si>
  <si>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</si>
  <si>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</si>
  <si>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</si>
  <si>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</si>
  <si>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</si>
  <si>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</si>
  <si>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</si>
  <si>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</si>
  <si>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</si>
  <si>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</si>
  <si>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</si>
  <si>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</si>
  <si>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</si>
  <si>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</si>
  <si>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</si>
  <si>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</si>
  <si>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</si>
  <si>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</si>
  <si>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</si>
  <si>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</si>
  <si>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</si>
  <si>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</si>
  <si>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</si>
  <si>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</si>
  <si>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</si>
  <si>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</si>
  <si>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</si>
  <si>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</si>
  <si>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</si>
  <si>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</si>
  <si>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</si>
  <si>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</si>
  <si>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</si>
  <si>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</si>
  <si>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</si>
  <si>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</si>
  <si>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</si>
  <si>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</si>
  <si>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</si>
  <si>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</si>
  <si>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</si>
  <si>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</si>
  <si>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</si>
  <si>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</si>
  <si>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</si>
  <si>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</si>
  <si>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</si>
  <si>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</si>
  <si>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</si>
  <si>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</si>
  <si>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</si>
  <si>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</si>
  <si>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</si>
  <si>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</si>
  <si>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</si>
  <si>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</si>
  <si>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</si>
  <si>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</si>
  <si>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</si>
  <si>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</si>
  <si>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</si>
  <si>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</si>
  <si>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</si>
  <si>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</si>
  <si>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</si>
  <si>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</si>
  <si>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</si>
  <si>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</si>
  <si>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</si>
  <si>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</si>
  <si>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</si>
  <si>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</si>
  <si>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</si>
  <si>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</si>
  <si>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</si>
  <si>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</si>
  <si>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</si>
  <si>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</si>
  <si>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</si>
  <si>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</si>
  <si>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</si>
  <si>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</si>
  <si>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</si>
  <si>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</si>
  <si>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</si>
  <si>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</si>
  <si>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</si>
  <si>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</si>
  <si>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</si>
  <si>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</si>
  <si>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</si>
  <si>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</si>
  <si>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</si>
  <si>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</si>
  <si>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</si>
  <si>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</si>
  <si>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</si>
  <si>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</si>
  <si>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</si>
  <si>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</si>
  <si>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</si>
  <si>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</si>
  <si>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</si>
  <si>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</si>
  <si>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</si>
  <si>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</si>
  <si>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</si>
  <si>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</si>
  <si>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</si>
  <si>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</si>
  <si>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</si>
  <si>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</si>
  <si>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</si>
  <si>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</si>
  <si>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</si>
  <si>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</si>
  <si>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</si>
  <si>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</si>
  <si>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</si>
  <si>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</si>
  <si>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</si>
  <si>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</si>
  <si>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</si>
  <si>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</si>
  <si>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</si>
  <si>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</si>
  <si>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</si>
  <si>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</si>
  <si>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</si>
  <si>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</si>
  <si>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</si>
  <si>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</si>
  <si>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</si>
  <si>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</si>
  <si>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</si>
  <si>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</si>
  <si>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</si>
  <si>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</si>
  <si>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</si>
  <si>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</si>
  <si>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</si>
  <si>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</si>
  <si>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</si>
  <si>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</si>
  <si>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</si>
  <si>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</si>
  <si>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</si>
  <si>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</si>
  <si>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</si>
  <si>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</si>
  <si>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</si>
  <si>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</si>
  <si>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</si>
  <si>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</si>
  <si>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</si>
  <si>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</si>
  <si>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</si>
  <si>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</si>
  <si>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</si>
  <si>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</si>
  <si>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</si>
  <si>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</si>
  <si>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</si>
  <si>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</si>
  <si>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</si>
  <si>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</si>
  <si>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</si>
  <si>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</si>
  <si>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</si>
  <si>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</si>
  <si>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</si>
  <si>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</si>
  <si>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</si>
  <si>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</si>
  <si>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</si>
  <si>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</si>
  <si>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</si>
  <si>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</si>
  <si>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</si>
  <si>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</si>
  <si>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</si>
  <si>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</si>
  <si>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</si>
  <si>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</si>
  <si>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</si>
  <si>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</si>
  <si>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</si>
  <si>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</si>
  <si>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</si>
  <si>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</si>
  <si>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</si>
  <si>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</si>
  <si>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</si>
  <si>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</si>
  <si>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</si>
  <si>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</si>
  <si>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</si>
  <si>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</si>
  <si>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</si>
  <si>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</si>
  <si>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</si>
  <si>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</si>
  <si>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</si>
  <si>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</si>
  <si>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</si>
  <si>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</si>
  <si>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</si>
  <si>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</si>
  <si>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</si>
  <si>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</si>
  <si>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</si>
  <si>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</si>
  <si>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</si>
  <si>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</si>
  <si>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</si>
  <si>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</si>
  <si>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</si>
  <si>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</si>
  <si>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</si>
  <si>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</si>
  <si>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</si>
  <si>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</si>
  <si>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</si>
  <si>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</si>
  <si>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</si>
  <si>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</si>
  <si>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</si>
  <si>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</si>
  <si>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</si>
  <si>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</si>
  <si>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</si>
  <si>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</si>
  <si>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</si>
  <si>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</si>
  <si>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</si>
  <si>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</si>
  <si>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</si>
  <si>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</si>
  <si>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</si>
  <si>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</si>
  <si>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</si>
  <si>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</si>
  <si>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</si>
  <si>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</si>
  <si>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</si>
  <si>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</si>
  <si>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</si>
  <si>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</si>
  <si>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</si>
  <si>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</si>
  <si>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</si>
  <si>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</si>
  <si>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</si>
  <si>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</si>
  <si>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</si>
  <si>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</si>
  <si>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</si>
  <si>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</si>
  <si>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</si>
  <si>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</si>
  <si>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</si>
  <si>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</si>
  <si>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</si>
  <si>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</si>
  <si>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</si>
  <si>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</si>
  <si>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</si>
  <si>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</si>
  <si>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</si>
  <si>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</si>
  <si>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</si>
  <si>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</si>
  <si>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</si>
  <si>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</si>
  <si>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</si>
  <si>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</si>
  <si>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</si>
  <si>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</si>
  <si>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</si>
  <si>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</si>
  <si>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</si>
  <si>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</si>
  <si>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</si>
  <si>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</si>
  <si>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</si>
  <si>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</si>
  <si>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</si>
  <si>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</si>
  <si>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</si>
  <si>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</si>
  <si>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</si>
  <si>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</si>
  <si>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</si>
  <si>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</si>
  <si>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</si>
  <si>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</si>
  <si>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</si>
  <si>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</si>
  <si>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</si>
  <si>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</si>
  <si>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</si>
  <si>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</si>
  <si>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</si>
  <si>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</si>
  <si>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</si>
  <si>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</si>
  <si>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</si>
  <si>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</si>
  <si>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</si>
  <si>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</si>
  <si>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</si>
  <si>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</si>
  <si>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</si>
  <si>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</si>
  <si>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</si>
  <si>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</si>
  <si>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</si>
  <si>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</si>
  <si>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</si>
  <si>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</si>
  <si>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</si>
  <si>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</si>
  <si>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</si>
  <si>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</si>
  <si>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</si>
  <si>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</si>
  <si>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</si>
  <si>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</si>
  <si>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</si>
  <si>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</si>
  <si>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</si>
  <si>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</si>
  <si>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</si>
  <si>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</si>
  <si>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</si>
  <si>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</si>
  <si>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</si>
  <si>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</si>
  <si>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</si>
  <si>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</si>
  <si>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</si>
  <si>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</si>
  <si>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</si>
  <si>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</si>
  <si>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</si>
  <si>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</si>
  <si>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</si>
  <si>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</si>
  <si>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</si>
  <si>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</si>
  <si>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</si>
  <si>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23097</t>
  </si>
  <si>
    <t>ROOSDAAL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</si>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</sst>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98717.509335633455</c:v>
                </c:pt>
                <c:pt idx="1">
                  <c:v>16518.696194548342</c:v>
                </c:pt>
                <c:pt idx="2">
                  <c:v>568.44000000000005</c:v>
                </c:pt>
                <c:pt idx="3">
                  <c:v>1885.8495408102322</c:v>
                </c:pt>
                <c:pt idx="4">
                  <c:v>6706.8051278572766</c:v>
                </c:pt>
                <c:pt idx="5">
                  <c:v>50196.458394552792</c:v>
                </c:pt>
                <c:pt idx="6">
                  <c:v>1853.2526958530789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98717.509335633455</c:v>
                </c:pt>
                <c:pt idx="1">
                  <c:v>16518.696194548342</c:v>
                </c:pt>
                <c:pt idx="2">
                  <c:v>568.44000000000005</c:v>
                </c:pt>
                <c:pt idx="3">
                  <c:v>1885.8495408102322</c:v>
                </c:pt>
                <c:pt idx="4">
                  <c:v>6706.8051278572766</c:v>
                </c:pt>
                <c:pt idx="5">
                  <c:v>50196.458394552792</c:v>
                </c:pt>
                <c:pt idx="6">
                  <c:v>1853.2526958530789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20418.23660203574</c:v>
                </c:pt>
                <c:pt idx="1">
                  <c:v>3313.5974139946038</c:v>
                </c:pt>
                <c:pt idx="2">
                  <c:v>113.00894023209057</c:v>
                </c:pt>
                <c:pt idx="3">
                  <c:v>472.11352572977836</c:v>
                </c:pt>
                <c:pt idx="4">
                  <c:v>1337.3473559400354</c:v>
                </c:pt>
                <c:pt idx="5">
                  <c:v>12473.823417854681</c:v>
                </c:pt>
                <c:pt idx="6">
                  <c:v>467.60840652196498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20418.23660203574</c:v>
                </c:pt>
                <c:pt idx="1">
                  <c:v>3313.5974139946038</c:v>
                </c:pt>
                <c:pt idx="2">
                  <c:v>113.00894023209057</c:v>
                </c:pt>
                <c:pt idx="3">
                  <c:v>472.11352572977836</c:v>
                </c:pt>
                <c:pt idx="4">
                  <c:v>1337.3473559400354</c:v>
                </c:pt>
                <c:pt idx="5">
                  <c:v>12473.823417854681</c:v>
                </c:pt>
                <c:pt idx="6">
                  <c:v>467.60840652196498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23097</v>
      </c>
      <c r="B6" s="386"/>
      <c r="C6" s="387"/>
    </row>
    <row r="7" spans="1:7" s="384" customFormat="1" ht="15.75" customHeight="1">
      <c r="A7" s="388" t="str">
        <f>txtMunicipality</f>
        <v>ROOSDAAL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6143.3499404034519</v>
      </c>
      <c r="D10" s="682">
        <f ca="1">tertiair!C16</f>
        <v>0</v>
      </c>
      <c r="E10" s="682">
        <f ca="1">tertiair!D16</f>
        <v>9689.1885941386572</v>
      </c>
      <c r="F10" s="682">
        <f>tertiair!E16</f>
        <v>16.079397167508009</v>
      </c>
      <c r="G10" s="682">
        <f ca="1">tertiair!F16</f>
        <v>915.38062567344582</v>
      </c>
      <c r="H10" s="682">
        <f>tertiair!G16</f>
        <v>0</v>
      </c>
      <c r="I10" s="682">
        <f>tertiair!H16</f>
        <v>0</v>
      </c>
      <c r="J10" s="682">
        <f>tertiair!I16</f>
        <v>0</v>
      </c>
      <c r="K10" s="682">
        <f>tertiair!J16</f>
        <v>7.0064438237151961E-3</v>
      </c>
      <c r="L10" s="682">
        <f>tertiair!K16</f>
        <v>0</v>
      </c>
      <c r="M10" s="682">
        <f ca="1">tertiair!L16</f>
        <v>0</v>
      </c>
      <c r="N10" s="682">
        <f>tertiair!M16</f>
        <v>0</v>
      </c>
      <c r="O10" s="682">
        <f ca="1">tertiair!N16</f>
        <v>265.69423164911808</v>
      </c>
      <c r="P10" s="682">
        <f>tertiair!O16</f>
        <v>4.8972607658411542</v>
      </c>
      <c r="Q10" s="683">
        <f>tertiair!P16</f>
        <v>52.539138306495019</v>
      </c>
      <c r="R10" s="685">
        <f ca="1">SUM(C10:Q10)</f>
        <v>17087.13619454834</v>
      </c>
      <c r="S10" s="67"/>
    </row>
    <row r="11" spans="1:19" s="445" customFormat="1">
      <c r="A11" s="803" t="s">
        <v>220</v>
      </c>
      <c r="B11" s="808"/>
      <c r="C11" s="682">
        <f>huishoudens!B8</f>
        <v>21049.80604015867</v>
      </c>
      <c r="D11" s="682">
        <f>huishoudens!C8</f>
        <v>0</v>
      </c>
      <c r="E11" s="682">
        <f>huishoudens!D8</f>
        <v>37959.050822467529</v>
      </c>
      <c r="F11" s="682">
        <f>huishoudens!E8</f>
        <v>1352.7984727351263</v>
      </c>
      <c r="G11" s="682">
        <f>huishoudens!F8</f>
        <v>30727.302993115569</v>
      </c>
      <c r="H11" s="682">
        <f>huishoudens!G8</f>
        <v>0</v>
      </c>
      <c r="I11" s="682">
        <f>huishoudens!H8</f>
        <v>0</v>
      </c>
      <c r="J11" s="682">
        <f>huishoudens!I8</f>
        <v>0</v>
      </c>
      <c r="K11" s="682">
        <f>huishoudens!J8</f>
        <v>153.72351258331446</v>
      </c>
      <c r="L11" s="682">
        <f>huishoudens!K8</f>
        <v>0</v>
      </c>
      <c r="M11" s="682">
        <f>huishoudens!L8</f>
        <v>0</v>
      </c>
      <c r="N11" s="682">
        <f>huishoudens!M8</f>
        <v>0</v>
      </c>
      <c r="O11" s="682">
        <f>huishoudens!N8</f>
        <v>6422.2838933270259</v>
      </c>
      <c r="P11" s="682">
        <f>huishoudens!O8</f>
        <v>251.96269386215306</v>
      </c>
      <c r="Q11" s="683">
        <f>huishoudens!P8</f>
        <v>800.58090738406179</v>
      </c>
      <c r="R11" s="685">
        <f>SUM(C11:Q11)</f>
        <v>98717.509335633455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4980.2673162103029</v>
      </c>
      <c r="D13" s="682">
        <f>industrie!C18</f>
        <v>0</v>
      </c>
      <c r="E13" s="682">
        <f>industrie!D18</f>
        <v>1092.7948410532342</v>
      </c>
      <c r="F13" s="682">
        <f>industrie!E18</f>
        <v>14.663907721651547</v>
      </c>
      <c r="G13" s="682">
        <f>industrie!F18</f>
        <v>460.55226593216361</v>
      </c>
      <c r="H13" s="682">
        <f>industrie!G18</f>
        <v>0</v>
      </c>
      <c r="I13" s="682">
        <f>industrie!H18</f>
        <v>0</v>
      </c>
      <c r="J13" s="682">
        <f>industrie!I18</f>
        <v>0</v>
      </c>
      <c r="K13" s="682">
        <f>industrie!J18</f>
        <v>0.57234988373788431</v>
      </c>
      <c r="L13" s="682">
        <f>industrie!K18</f>
        <v>0</v>
      </c>
      <c r="M13" s="682">
        <f>industrie!L18</f>
        <v>0</v>
      </c>
      <c r="N13" s="682">
        <f>industrie!M18</f>
        <v>0</v>
      </c>
      <c r="O13" s="682">
        <f>industrie!N18</f>
        <v>157.95444705618715</v>
      </c>
      <c r="P13" s="682">
        <f>industrie!O18</f>
        <v>0</v>
      </c>
      <c r="Q13" s="683">
        <f>industrie!P18</f>
        <v>0</v>
      </c>
      <c r="R13" s="685">
        <f>SUM(C13:Q13)</f>
        <v>6706.8051278572766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32173.423296772424</v>
      </c>
      <c r="D16" s="718">
        <f t="shared" ref="D16:R16" ca="1" si="0">SUM(D9:D15)</f>
        <v>0</v>
      </c>
      <c r="E16" s="718">
        <f t="shared" ca="1" si="0"/>
        <v>48741.034257659419</v>
      </c>
      <c r="F16" s="718">
        <f t="shared" si="0"/>
        <v>1383.5417776242859</v>
      </c>
      <c r="G16" s="718">
        <f t="shared" ca="1" si="0"/>
        <v>32103.23588472118</v>
      </c>
      <c r="H16" s="718">
        <f t="shared" si="0"/>
        <v>0</v>
      </c>
      <c r="I16" s="718">
        <f t="shared" si="0"/>
        <v>0</v>
      </c>
      <c r="J16" s="718">
        <f t="shared" si="0"/>
        <v>0</v>
      </c>
      <c r="K16" s="718">
        <f t="shared" si="0"/>
        <v>154.30286891087604</v>
      </c>
      <c r="L16" s="718">
        <f t="shared" si="0"/>
        <v>0</v>
      </c>
      <c r="M16" s="718">
        <f t="shared" ca="1" si="0"/>
        <v>0</v>
      </c>
      <c r="N16" s="718">
        <f t="shared" si="0"/>
        <v>0</v>
      </c>
      <c r="O16" s="718">
        <f t="shared" ca="1" si="0"/>
        <v>6845.9325720323304</v>
      </c>
      <c r="P16" s="718">
        <f t="shared" si="0"/>
        <v>256.85995462799423</v>
      </c>
      <c r="Q16" s="718">
        <f t="shared" si="0"/>
        <v>853.12004569055682</v>
      </c>
      <c r="R16" s="718">
        <f t="shared" ca="1" si="0"/>
        <v>122511.45065803907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24.28278808442397</v>
      </c>
      <c r="D19" s="682">
        <f>transport!C54</f>
        <v>0</v>
      </c>
      <c r="E19" s="682">
        <f>transport!D54</f>
        <v>0</v>
      </c>
      <c r="F19" s="682">
        <f>transport!E54</f>
        <v>0</v>
      </c>
      <c r="G19" s="682">
        <f>transport!F54</f>
        <v>0</v>
      </c>
      <c r="H19" s="682">
        <f>transport!G54</f>
        <v>1733.2616373825292</v>
      </c>
      <c r="I19" s="682">
        <f>transport!H54</f>
        <v>0</v>
      </c>
      <c r="J19" s="682">
        <f>transport!I54</f>
        <v>0</v>
      </c>
      <c r="K19" s="682">
        <f>transport!J54</f>
        <v>0</v>
      </c>
      <c r="L19" s="682">
        <f>transport!K54</f>
        <v>0</v>
      </c>
      <c r="M19" s="682">
        <f>transport!L54</f>
        <v>0</v>
      </c>
      <c r="N19" s="682">
        <f>transport!M54</f>
        <v>95.708270386125562</v>
      </c>
      <c r="O19" s="682">
        <f>transport!N54</f>
        <v>0</v>
      </c>
      <c r="P19" s="682">
        <f>transport!O54</f>
        <v>0</v>
      </c>
      <c r="Q19" s="683">
        <f>transport!P54</f>
        <v>0</v>
      </c>
      <c r="R19" s="685">
        <f>SUM(C19:Q19)</f>
        <v>1853.2526958530789</v>
      </c>
      <c r="S19" s="67"/>
    </row>
    <row r="20" spans="1:19" s="445" customFormat="1">
      <c r="A20" s="803" t="s">
        <v>302</v>
      </c>
      <c r="B20" s="808"/>
      <c r="C20" s="682">
        <f>transport!B14</f>
        <v>78.649161455896831</v>
      </c>
      <c r="D20" s="682">
        <f>transport!C14</f>
        <v>0</v>
      </c>
      <c r="E20" s="682">
        <f>transport!D14</f>
        <v>154.85746253281795</v>
      </c>
      <c r="F20" s="682">
        <f>transport!E14</f>
        <v>84.124965457046713</v>
      </c>
      <c r="G20" s="682">
        <f>transport!F14</f>
        <v>0</v>
      </c>
      <c r="H20" s="682">
        <f>transport!G14</f>
        <v>37731.118412753072</v>
      </c>
      <c r="I20" s="682">
        <f>transport!H14</f>
        <v>9371.8929688444587</v>
      </c>
      <c r="J20" s="682">
        <f>transport!I14</f>
        <v>0</v>
      </c>
      <c r="K20" s="682">
        <f>transport!J14</f>
        <v>0</v>
      </c>
      <c r="L20" s="682">
        <f>transport!K14</f>
        <v>0</v>
      </c>
      <c r="M20" s="682">
        <f>transport!L14</f>
        <v>0</v>
      </c>
      <c r="N20" s="682">
        <f>transport!M14</f>
        <v>2775.8154235095094</v>
      </c>
      <c r="O20" s="682">
        <f>transport!N14</f>
        <v>0</v>
      </c>
      <c r="P20" s="682">
        <f>transport!O14</f>
        <v>0</v>
      </c>
      <c r="Q20" s="683">
        <f>transport!P14</f>
        <v>0</v>
      </c>
      <c r="R20" s="685">
        <f>SUM(C20:Q20)</f>
        <v>50196.458394552792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102.9319495403208</v>
      </c>
      <c r="D22" s="806">
        <f t="shared" ref="D22:R22" si="1">SUM(D18:D21)</f>
        <v>0</v>
      </c>
      <c r="E22" s="806">
        <f t="shared" si="1"/>
        <v>154.85746253281795</v>
      </c>
      <c r="F22" s="806">
        <f t="shared" si="1"/>
        <v>84.124965457046713</v>
      </c>
      <c r="G22" s="806">
        <f t="shared" si="1"/>
        <v>0</v>
      </c>
      <c r="H22" s="806">
        <f t="shared" si="1"/>
        <v>39464.380050135602</v>
      </c>
      <c r="I22" s="806">
        <f t="shared" si="1"/>
        <v>9371.8929688444587</v>
      </c>
      <c r="J22" s="806">
        <f t="shared" si="1"/>
        <v>0</v>
      </c>
      <c r="K22" s="806">
        <f t="shared" si="1"/>
        <v>0</v>
      </c>
      <c r="L22" s="806">
        <f t="shared" si="1"/>
        <v>0</v>
      </c>
      <c r="M22" s="806">
        <f t="shared" si="1"/>
        <v>0</v>
      </c>
      <c r="N22" s="806">
        <f t="shared" si="1"/>
        <v>2871.523693895635</v>
      </c>
      <c r="O22" s="806">
        <f t="shared" si="1"/>
        <v>0</v>
      </c>
      <c r="P22" s="806">
        <f t="shared" si="1"/>
        <v>0</v>
      </c>
      <c r="Q22" s="806">
        <f t="shared" si="1"/>
        <v>0</v>
      </c>
      <c r="R22" s="806">
        <f t="shared" si="1"/>
        <v>52049.711090405872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366.854180459882</v>
      </c>
      <c r="D24" s="682">
        <f>+landbouw!C8</f>
        <v>0</v>
      </c>
      <c r="E24" s="682">
        <f>+landbouw!D8</f>
        <v>218.796492891154</v>
      </c>
      <c r="F24" s="682">
        <f>+landbouw!E8</f>
        <v>13.681114516239228</v>
      </c>
      <c r="G24" s="682">
        <f>+landbouw!F8</f>
        <v>1190.2167194472174</v>
      </c>
      <c r="H24" s="682">
        <f>+landbouw!G8</f>
        <v>0</v>
      </c>
      <c r="I24" s="682">
        <f>+landbouw!H8</f>
        <v>0</v>
      </c>
      <c r="J24" s="682">
        <f>+landbouw!I8</f>
        <v>0</v>
      </c>
      <c r="K24" s="682">
        <f>+landbouw!J8</f>
        <v>96.301033495739517</v>
      </c>
      <c r="L24" s="682">
        <f>+landbouw!K8</f>
        <v>0</v>
      </c>
      <c r="M24" s="682">
        <f>+landbouw!L8</f>
        <v>0</v>
      </c>
      <c r="N24" s="682">
        <f>+landbouw!M8</f>
        <v>0</v>
      </c>
      <c r="O24" s="682">
        <f>+landbouw!N8</f>
        <v>0</v>
      </c>
      <c r="P24" s="682">
        <f>+landbouw!O8</f>
        <v>0</v>
      </c>
      <c r="Q24" s="683">
        <f>+landbouw!P8</f>
        <v>0</v>
      </c>
      <c r="R24" s="685">
        <f>SUM(C24:Q24)</f>
        <v>1885.8495408102322</v>
      </c>
      <c r="S24" s="67"/>
    </row>
    <row r="25" spans="1:19" s="445" customFormat="1" ht="15" thickBot="1">
      <c r="A25" s="825" t="s">
        <v>703</v>
      </c>
      <c r="B25" s="938"/>
      <c r="C25" s="939">
        <f>IF(Onbekend_ele_kWh="---",0,Onbekend_ele_kWh)/1000+IF(REST_rest_ele_kWh="---",0,REST_rest_ele_kWh)/1000</f>
        <v>364.52565110872001</v>
      </c>
      <c r="D25" s="939"/>
      <c r="E25" s="939">
        <f>IF(onbekend_gas_kWh="---",0,onbekend_gas_kWh)/1000+IF(REST_rest_gas_kWh="---",0,REST_rest_gas_kWh)/1000</f>
        <v>1018.2945948694399</v>
      </c>
      <c r="F25" s="939"/>
      <c r="G25" s="939"/>
      <c r="H25" s="939"/>
      <c r="I25" s="939"/>
      <c r="J25" s="939"/>
      <c r="K25" s="939"/>
      <c r="L25" s="939"/>
      <c r="M25" s="939"/>
      <c r="N25" s="939"/>
      <c r="O25" s="939"/>
      <c r="P25" s="939"/>
      <c r="Q25" s="940"/>
      <c r="R25" s="685">
        <f>SUM(C25:Q25)</f>
        <v>1382.8202459781601</v>
      </c>
      <c r="S25" s="67"/>
    </row>
    <row r="26" spans="1:19" s="445" customFormat="1" ht="15.75" thickBot="1">
      <c r="A26" s="690" t="s">
        <v>704</v>
      </c>
      <c r="B26" s="811"/>
      <c r="C26" s="806">
        <f>SUM(C24:C25)</f>
        <v>731.37983156860196</v>
      </c>
      <c r="D26" s="806">
        <f t="shared" ref="D26:R26" si="2">SUM(D24:D25)</f>
        <v>0</v>
      </c>
      <c r="E26" s="806">
        <f t="shared" si="2"/>
        <v>1237.0910877605938</v>
      </c>
      <c r="F26" s="806">
        <f t="shared" si="2"/>
        <v>13.681114516239228</v>
      </c>
      <c r="G26" s="806">
        <f t="shared" si="2"/>
        <v>1190.2167194472174</v>
      </c>
      <c r="H26" s="806">
        <f t="shared" si="2"/>
        <v>0</v>
      </c>
      <c r="I26" s="806">
        <f t="shared" si="2"/>
        <v>0</v>
      </c>
      <c r="J26" s="806">
        <f t="shared" si="2"/>
        <v>0</v>
      </c>
      <c r="K26" s="806">
        <f t="shared" si="2"/>
        <v>96.301033495739517</v>
      </c>
      <c r="L26" s="806">
        <f t="shared" si="2"/>
        <v>0</v>
      </c>
      <c r="M26" s="806">
        <f t="shared" si="2"/>
        <v>0</v>
      </c>
      <c r="N26" s="806">
        <f t="shared" si="2"/>
        <v>0</v>
      </c>
      <c r="O26" s="806">
        <f t="shared" si="2"/>
        <v>0</v>
      </c>
      <c r="P26" s="806">
        <f t="shared" si="2"/>
        <v>0</v>
      </c>
      <c r="Q26" s="806">
        <f t="shared" si="2"/>
        <v>0</v>
      </c>
      <c r="R26" s="806">
        <f t="shared" si="2"/>
        <v>3268.6697867883922</v>
      </c>
      <c r="S26" s="67"/>
    </row>
    <row r="27" spans="1:19" s="445" customFormat="1" ht="17.25" thickTop="1" thickBot="1">
      <c r="A27" s="691" t="s">
        <v>115</v>
      </c>
      <c r="B27" s="798"/>
      <c r="C27" s="692">
        <f ca="1">C22+C16+C26</f>
        <v>33007.735077881349</v>
      </c>
      <c r="D27" s="692">
        <f t="shared" ref="D27:R27" ca="1" si="3">D22+D16+D26</f>
        <v>0</v>
      </c>
      <c r="E27" s="692">
        <f t="shared" ca="1" si="3"/>
        <v>50132.982807952831</v>
      </c>
      <c r="F27" s="692">
        <f t="shared" si="3"/>
        <v>1481.3478575975719</v>
      </c>
      <c r="G27" s="692">
        <f t="shared" ca="1" si="3"/>
        <v>33293.4526041684</v>
      </c>
      <c r="H27" s="692">
        <f t="shared" si="3"/>
        <v>39464.380050135602</v>
      </c>
      <c r="I27" s="692">
        <f t="shared" si="3"/>
        <v>9371.8929688444587</v>
      </c>
      <c r="J27" s="692">
        <f t="shared" si="3"/>
        <v>0</v>
      </c>
      <c r="K27" s="692">
        <f t="shared" si="3"/>
        <v>250.60390240661556</v>
      </c>
      <c r="L27" s="692">
        <f t="shared" si="3"/>
        <v>0</v>
      </c>
      <c r="M27" s="692">
        <f t="shared" ca="1" si="3"/>
        <v>0</v>
      </c>
      <c r="N27" s="692">
        <f t="shared" si="3"/>
        <v>2871.523693895635</v>
      </c>
      <c r="O27" s="692">
        <f t="shared" ca="1" si="3"/>
        <v>6845.9325720323304</v>
      </c>
      <c r="P27" s="692">
        <f t="shared" si="3"/>
        <v>256.85995462799423</v>
      </c>
      <c r="Q27" s="692">
        <f t="shared" si="3"/>
        <v>853.12004569055682</v>
      </c>
      <c r="R27" s="692">
        <f t="shared" ca="1" si="3"/>
        <v>177829.83153523336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1221.3311277177374</v>
      </c>
      <c r="D40" s="682">
        <f ca="1">tertiair!C20</f>
        <v>0</v>
      </c>
      <c r="E40" s="682">
        <f ca="1">tertiair!D20</f>
        <v>1957.2160960160088</v>
      </c>
      <c r="F40" s="682">
        <f>tertiair!E20</f>
        <v>3.6500231570243185</v>
      </c>
      <c r="G40" s="682">
        <f ca="1">tertiair!F20</f>
        <v>244.40662705481006</v>
      </c>
      <c r="H40" s="682">
        <f>tertiair!G20</f>
        <v>0</v>
      </c>
      <c r="I40" s="682">
        <f>tertiair!H20</f>
        <v>0</v>
      </c>
      <c r="J40" s="682">
        <f>tertiair!I20</f>
        <v>0</v>
      </c>
      <c r="K40" s="682">
        <f>tertiair!J20</f>
        <v>2.4802811135951792E-3</v>
      </c>
      <c r="L40" s="682">
        <f>tertiair!K20</f>
        <v>0</v>
      </c>
      <c r="M40" s="682">
        <f ca="1">tertiair!L20</f>
        <v>0</v>
      </c>
      <c r="N40" s="682">
        <f>tertiair!M20</f>
        <v>0</v>
      </c>
      <c r="O40" s="682">
        <f ca="1">tertiair!N20</f>
        <v>0</v>
      </c>
      <c r="P40" s="682">
        <f>tertiair!O20</f>
        <v>0</v>
      </c>
      <c r="Q40" s="765">
        <f>tertiair!P20</f>
        <v>0</v>
      </c>
      <c r="R40" s="844">
        <f t="shared" ca="1" si="4"/>
        <v>3426.6063542266943</v>
      </c>
    </row>
    <row r="41" spans="1:18">
      <c r="A41" s="816" t="s">
        <v>220</v>
      </c>
      <c r="B41" s="823"/>
      <c r="C41" s="682">
        <f ca="1">huishoudens!B12</f>
        <v>4184.8150599700757</v>
      </c>
      <c r="D41" s="682">
        <f ca="1">huishoudens!C12</f>
        <v>0</v>
      </c>
      <c r="E41" s="682">
        <f>huishoudens!D12</f>
        <v>7667.7282661384415</v>
      </c>
      <c r="F41" s="682">
        <f>huishoudens!E12</f>
        <v>307.08525331087367</v>
      </c>
      <c r="G41" s="682">
        <f>huishoudens!F12</f>
        <v>8204.1898991618582</v>
      </c>
      <c r="H41" s="682">
        <f>huishoudens!G12</f>
        <v>0</v>
      </c>
      <c r="I41" s="682">
        <f>huishoudens!H12</f>
        <v>0</v>
      </c>
      <c r="J41" s="682">
        <f>huishoudens!I12</f>
        <v>0</v>
      </c>
      <c r="K41" s="682">
        <f>huishoudens!J12</f>
        <v>54.418123454493319</v>
      </c>
      <c r="L41" s="682">
        <f>huishoudens!K12</f>
        <v>0</v>
      </c>
      <c r="M41" s="682">
        <f>huishoudens!L12</f>
        <v>0</v>
      </c>
      <c r="N41" s="682">
        <f>huishoudens!M12</f>
        <v>0</v>
      </c>
      <c r="O41" s="682">
        <f>huishoudens!N12</f>
        <v>0</v>
      </c>
      <c r="P41" s="682">
        <f>huishoudens!O12</f>
        <v>0</v>
      </c>
      <c r="Q41" s="765">
        <f>huishoudens!P12</f>
        <v>0</v>
      </c>
      <c r="R41" s="844">
        <f t="shared" ca="1" si="4"/>
        <v>20418.23660203574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990.1040241317362</v>
      </c>
      <c r="D43" s="682">
        <f ca="1">industrie!C22</f>
        <v>0</v>
      </c>
      <c r="E43" s="682">
        <f>industrie!D22</f>
        <v>220.74455789275333</v>
      </c>
      <c r="F43" s="682">
        <f>industrie!E22</f>
        <v>3.3287070528149014</v>
      </c>
      <c r="G43" s="682">
        <f>industrie!F22</f>
        <v>122.96745500388769</v>
      </c>
      <c r="H43" s="682">
        <f>industrie!G22</f>
        <v>0</v>
      </c>
      <c r="I43" s="682">
        <f>industrie!H22</f>
        <v>0</v>
      </c>
      <c r="J43" s="682">
        <f>industrie!I22</f>
        <v>0</v>
      </c>
      <c r="K43" s="682">
        <f>industrie!J22</f>
        <v>0.20261185884321103</v>
      </c>
      <c r="L43" s="682">
        <f>industrie!K22</f>
        <v>0</v>
      </c>
      <c r="M43" s="682">
        <f>industrie!L22</f>
        <v>0</v>
      </c>
      <c r="N43" s="682">
        <f>industrie!M22</f>
        <v>0</v>
      </c>
      <c r="O43" s="682">
        <f>industrie!N22</f>
        <v>0</v>
      </c>
      <c r="P43" s="682">
        <f>industrie!O22</f>
        <v>0</v>
      </c>
      <c r="Q43" s="765">
        <f>industrie!P22</f>
        <v>0</v>
      </c>
      <c r="R43" s="843">
        <f t="shared" ca="1" si="4"/>
        <v>1337.3473559400354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6396.2502118195489</v>
      </c>
      <c r="D46" s="718">
        <f t="shared" ref="D46:Q46" ca="1" si="5">SUM(D39:D45)</f>
        <v>0</v>
      </c>
      <c r="E46" s="718">
        <f t="shared" ca="1" si="5"/>
        <v>9845.6889200472033</v>
      </c>
      <c r="F46" s="718">
        <f t="shared" si="5"/>
        <v>314.06398352071284</v>
      </c>
      <c r="G46" s="718">
        <f t="shared" ca="1" si="5"/>
        <v>8571.5639812205554</v>
      </c>
      <c r="H46" s="718">
        <f t="shared" si="5"/>
        <v>0</v>
      </c>
      <c r="I46" s="718">
        <f t="shared" si="5"/>
        <v>0</v>
      </c>
      <c r="J46" s="718">
        <f t="shared" si="5"/>
        <v>0</v>
      </c>
      <c r="K46" s="718">
        <f t="shared" si="5"/>
        <v>54.62321559445013</v>
      </c>
      <c r="L46" s="718">
        <f t="shared" si="5"/>
        <v>0</v>
      </c>
      <c r="M46" s="718">
        <f t="shared" ca="1" si="5"/>
        <v>0</v>
      </c>
      <c r="N46" s="718">
        <f t="shared" si="5"/>
        <v>0</v>
      </c>
      <c r="O46" s="718">
        <f t="shared" ca="1" si="5"/>
        <v>0</v>
      </c>
      <c r="P46" s="718">
        <f t="shared" si="5"/>
        <v>0</v>
      </c>
      <c r="Q46" s="718">
        <f t="shared" si="5"/>
        <v>0</v>
      </c>
      <c r="R46" s="718">
        <f ca="1">SUM(R39:R45)</f>
        <v>25182.190312202467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4.82754934082962</v>
      </c>
      <c r="D49" s="682">
        <f ca="1">transport!C58</f>
        <v>0</v>
      </c>
      <c r="E49" s="682">
        <f>transport!D58</f>
        <v>0</v>
      </c>
      <c r="F49" s="682">
        <f>transport!E58</f>
        <v>0</v>
      </c>
      <c r="G49" s="682">
        <f>transport!F58</f>
        <v>0</v>
      </c>
      <c r="H49" s="682">
        <f>transport!G58</f>
        <v>462.78085718113533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467.60840652196498</v>
      </c>
    </row>
    <row r="50" spans="1:18">
      <c r="A50" s="819" t="s">
        <v>302</v>
      </c>
      <c r="B50" s="829"/>
      <c r="C50" s="688">
        <f ca="1">transport!B18</f>
        <v>15.635877816961306</v>
      </c>
      <c r="D50" s="688">
        <f>transport!C18</f>
        <v>0</v>
      </c>
      <c r="E50" s="688">
        <f>transport!D18</f>
        <v>31.281207431629227</v>
      </c>
      <c r="F50" s="688">
        <f>transport!E18</f>
        <v>19.096367158749604</v>
      </c>
      <c r="G50" s="688">
        <f>transport!F18</f>
        <v>0</v>
      </c>
      <c r="H50" s="688">
        <f>transport!G18</f>
        <v>10074.208616205071</v>
      </c>
      <c r="I50" s="688">
        <f>transport!H18</f>
        <v>2333.6013492422703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12473.823417854681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20.463427157790925</v>
      </c>
      <c r="D52" s="718">
        <f t="shared" ref="D52:Q52" ca="1" si="6">SUM(D48:D51)</f>
        <v>0</v>
      </c>
      <c r="E52" s="718">
        <f t="shared" si="6"/>
        <v>31.281207431629227</v>
      </c>
      <c r="F52" s="718">
        <f t="shared" si="6"/>
        <v>19.096367158749604</v>
      </c>
      <c r="G52" s="718">
        <f t="shared" si="6"/>
        <v>0</v>
      </c>
      <c r="H52" s="718">
        <f t="shared" si="6"/>
        <v>10536.989473386206</v>
      </c>
      <c r="I52" s="718">
        <f t="shared" si="6"/>
        <v>2333.6013492422703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12941.431824376647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72.932591220680052</v>
      </c>
      <c r="D54" s="688">
        <f ca="1">+landbouw!C12</f>
        <v>0</v>
      </c>
      <c r="E54" s="688">
        <f>+landbouw!D12</f>
        <v>44.196891564013114</v>
      </c>
      <c r="F54" s="688">
        <f>+landbouw!E12</f>
        <v>3.1056129951863047</v>
      </c>
      <c r="G54" s="688">
        <f>+landbouw!F12</f>
        <v>317.78786409240706</v>
      </c>
      <c r="H54" s="688">
        <f>+landbouw!G12</f>
        <v>0</v>
      </c>
      <c r="I54" s="688">
        <f>+landbouw!H12</f>
        <v>0</v>
      </c>
      <c r="J54" s="688">
        <f>+landbouw!I12</f>
        <v>0</v>
      </c>
      <c r="K54" s="688">
        <f>+landbouw!J12</f>
        <v>34.090565857491789</v>
      </c>
      <c r="L54" s="688">
        <f>+landbouw!K12</f>
        <v>0</v>
      </c>
      <c r="M54" s="688">
        <f>+landbouw!L12</f>
        <v>0</v>
      </c>
      <c r="N54" s="688">
        <f>+landbouw!M12</f>
        <v>0</v>
      </c>
      <c r="O54" s="688">
        <f>+landbouw!N12</f>
        <v>0</v>
      </c>
      <c r="P54" s="688">
        <f>+landbouw!O12</f>
        <v>0</v>
      </c>
      <c r="Q54" s="689">
        <f>+landbouw!P12</f>
        <v>0</v>
      </c>
      <c r="R54" s="717">
        <f ca="1">SUM(C54:Q54)</f>
        <v>472.11352572977836</v>
      </c>
    </row>
    <row r="55" spans="1:18" ht="15" thickBot="1">
      <c r="A55" s="819" t="s">
        <v>703</v>
      </c>
      <c r="B55" s="829"/>
      <c r="C55" s="688">
        <f ca="1">C25*'EF ele_warmte'!B12</f>
        <v>72.469667017115668</v>
      </c>
      <c r="D55" s="688"/>
      <c r="E55" s="688">
        <f>E25*EF_CO2_aardgas</f>
        <v>205.69550816362687</v>
      </c>
      <c r="F55" s="688"/>
      <c r="G55" s="688"/>
      <c r="H55" s="688"/>
      <c r="I55" s="688"/>
      <c r="J55" s="688"/>
      <c r="K55" s="688"/>
      <c r="L55" s="688"/>
      <c r="M55" s="688"/>
      <c r="N55" s="688"/>
      <c r="O55" s="688"/>
      <c r="P55" s="688"/>
      <c r="Q55" s="689"/>
      <c r="R55" s="717">
        <f ca="1">SUM(C55:Q55)</f>
        <v>278.16517518074255</v>
      </c>
    </row>
    <row r="56" spans="1:18" ht="15.75" thickBot="1">
      <c r="A56" s="817" t="s">
        <v>704</v>
      </c>
      <c r="B56" s="830"/>
      <c r="C56" s="718">
        <f ca="1">SUM(C54:C55)</f>
        <v>145.40225823779571</v>
      </c>
      <c r="D56" s="718">
        <f t="shared" ref="D56:Q56" ca="1" si="7">SUM(D54:D55)</f>
        <v>0</v>
      </c>
      <c r="E56" s="718">
        <f t="shared" si="7"/>
        <v>249.89239972764</v>
      </c>
      <c r="F56" s="718">
        <f t="shared" si="7"/>
        <v>3.1056129951863047</v>
      </c>
      <c r="G56" s="718">
        <f t="shared" si="7"/>
        <v>317.78786409240706</v>
      </c>
      <c r="H56" s="718">
        <f t="shared" si="7"/>
        <v>0</v>
      </c>
      <c r="I56" s="718">
        <f t="shared" si="7"/>
        <v>0</v>
      </c>
      <c r="J56" s="718">
        <f t="shared" si="7"/>
        <v>0</v>
      </c>
      <c r="K56" s="718">
        <f t="shared" si="7"/>
        <v>34.090565857491789</v>
      </c>
      <c r="L56" s="718">
        <f t="shared" si="7"/>
        <v>0</v>
      </c>
      <c r="M56" s="718">
        <f t="shared" si="7"/>
        <v>0</v>
      </c>
      <c r="N56" s="718">
        <f t="shared" si="7"/>
        <v>0</v>
      </c>
      <c r="O56" s="718">
        <f t="shared" si="7"/>
        <v>0</v>
      </c>
      <c r="P56" s="718">
        <f t="shared" si="7"/>
        <v>0</v>
      </c>
      <c r="Q56" s="719">
        <f t="shared" si="7"/>
        <v>0</v>
      </c>
      <c r="R56" s="720">
        <f ca="1">SUM(R54:R55)</f>
        <v>750.27870091052091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6562.1158972151352</v>
      </c>
      <c r="D61" s="726">
        <f t="shared" ref="D61:Q61" ca="1" si="8">D46+D52+D56</f>
        <v>0</v>
      </c>
      <c r="E61" s="726">
        <f t="shared" ca="1" si="8"/>
        <v>10126.862527206473</v>
      </c>
      <c r="F61" s="726">
        <f t="shared" si="8"/>
        <v>336.26596367464873</v>
      </c>
      <c r="G61" s="726">
        <f t="shared" ca="1" si="8"/>
        <v>8889.3518453129618</v>
      </c>
      <c r="H61" s="726">
        <f t="shared" si="8"/>
        <v>10536.989473386206</v>
      </c>
      <c r="I61" s="726">
        <f t="shared" si="8"/>
        <v>2333.6013492422703</v>
      </c>
      <c r="J61" s="726">
        <f t="shared" si="8"/>
        <v>0</v>
      </c>
      <c r="K61" s="726">
        <f t="shared" si="8"/>
        <v>88.713781451941912</v>
      </c>
      <c r="L61" s="726">
        <f t="shared" si="8"/>
        <v>0</v>
      </c>
      <c r="M61" s="726">
        <f t="shared" ca="1" si="8"/>
        <v>0</v>
      </c>
      <c r="N61" s="726">
        <f t="shared" si="8"/>
        <v>0</v>
      </c>
      <c r="O61" s="726">
        <f t="shared" ca="1" si="8"/>
        <v>0</v>
      </c>
      <c r="P61" s="726">
        <f t="shared" si="8"/>
        <v>0</v>
      </c>
      <c r="Q61" s="726">
        <f t="shared" si="8"/>
        <v>0</v>
      </c>
      <c r="R61" s="726">
        <f ca="1">R46+R52+R56</f>
        <v>38873.900837489637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0.19880539763579363</v>
      </c>
      <c r="D63" s="772">
        <f t="shared" ca="1" si="9"/>
        <v>0</v>
      </c>
      <c r="E63" s="964">
        <f t="shared" ca="1" si="9"/>
        <v>0.20200000000000001</v>
      </c>
      <c r="F63" s="772">
        <f t="shared" si="9"/>
        <v>0.22699999999999995</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3314.9029637857097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3314.9029637857097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21049.80604015867</v>
      </c>
      <c r="C4" s="449">
        <f>huishoudens!C8</f>
        <v>0</v>
      </c>
      <c r="D4" s="449">
        <f>huishoudens!D8</f>
        <v>37959.050822467529</v>
      </c>
      <c r="E4" s="449">
        <f>huishoudens!E8</f>
        <v>1352.7984727351263</v>
      </c>
      <c r="F4" s="449">
        <f>huishoudens!F8</f>
        <v>30727.302993115569</v>
      </c>
      <c r="G4" s="449">
        <f>huishoudens!G8</f>
        <v>0</v>
      </c>
      <c r="H4" s="449">
        <f>huishoudens!H8</f>
        <v>0</v>
      </c>
      <c r="I4" s="449">
        <f>huishoudens!I8</f>
        <v>0</v>
      </c>
      <c r="J4" s="449">
        <f>huishoudens!J8</f>
        <v>153.72351258331446</v>
      </c>
      <c r="K4" s="449">
        <f>huishoudens!K8</f>
        <v>0</v>
      </c>
      <c r="L4" s="449">
        <f>huishoudens!L8</f>
        <v>0</v>
      </c>
      <c r="M4" s="449">
        <f>huishoudens!M8</f>
        <v>0</v>
      </c>
      <c r="N4" s="449">
        <f>huishoudens!N8</f>
        <v>6422.2838933270259</v>
      </c>
      <c r="O4" s="449">
        <f>huishoudens!O8</f>
        <v>251.96269386215306</v>
      </c>
      <c r="P4" s="450">
        <f>huishoudens!P8</f>
        <v>800.58090738406179</v>
      </c>
      <c r="Q4" s="451">
        <f>SUM(B4:P4)</f>
        <v>98717.509335633455</v>
      </c>
    </row>
    <row r="5" spans="1:17">
      <c r="A5" s="448" t="s">
        <v>155</v>
      </c>
      <c r="B5" s="449">
        <f ca="1">tertiair!B16</f>
        <v>5574.9099404034514</v>
      </c>
      <c r="C5" s="449">
        <f ca="1">tertiair!C16</f>
        <v>0</v>
      </c>
      <c r="D5" s="449">
        <f ca="1">tertiair!D16</f>
        <v>9689.1885941386572</v>
      </c>
      <c r="E5" s="449">
        <f>tertiair!E16</f>
        <v>16.079397167508009</v>
      </c>
      <c r="F5" s="449">
        <f ca="1">tertiair!F16</f>
        <v>915.38062567344582</v>
      </c>
      <c r="G5" s="449">
        <f>tertiair!G16</f>
        <v>0</v>
      </c>
      <c r="H5" s="449">
        <f>tertiair!H16</f>
        <v>0</v>
      </c>
      <c r="I5" s="449">
        <f>tertiair!I16</f>
        <v>0</v>
      </c>
      <c r="J5" s="449">
        <f>tertiair!J16</f>
        <v>7.0064438237151961E-3</v>
      </c>
      <c r="K5" s="449">
        <f>tertiair!K16</f>
        <v>0</v>
      </c>
      <c r="L5" s="449">
        <f ca="1">tertiair!L16</f>
        <v>0</v>
      </c>
      <c r="M5" s="449">
        <f>tertiair!M16</f>
        <v>0</v>
      </c>
      <c r="N5" s="449">
        <f ca="1">tertiair!N16</f>
        <v>265.69423164911808</v>
      </c>
      <c r="O5" s="449">
        <f>tertiair!O16</f>
        <v>4.8972607658411542</v>
      </c>
      <c r="P5" s="450">
        <f>tertiair!P16</f>
        <v>52.539138306495019</v>
      </c>
      <c r="Q5" s="448">
        <f t="shared" ref="Q5:Q14" ca="1" si="0">SUM(B5:P5)</f>
        <v>16518.696194548342</v>
      </c>
    </row>
    <row r="6" spans="1:17">
      <c r="A6" s="448" t="s">
        <v>193</v>
      </c>
      <c r="B6" s="449">
        <f>'openbare verlichting'!B8</f>
        <v>568.44000000000005</v>
      </c>
      <c r="C6" s="449"/>
      <c r="D6" s="449"/>
      <c r="E6" s="449"/>
      <c r="F6" s="449"/>
      <c r="G6" s="449"/>
      <c r="H6" s="449"/>
      <c r="I6" s="449"/>
      <c r="J6" s="449"/>
      <c r="K6" s="449"/>
      <c r="L6" s="449"/>
      <c r="M6" s="449"/>
      <c r="N6" s="449"/>
      <c r="O6" s="449"/>
      <c r="P6" s="450"/>
      <c r="Q6" s="448">
        <f t="shared" si="0"/>
        <v>568.44000000000005</v>
      </c>
    </row>
    <row r="7" spans="1:17">
      <c r="A7" s="448" t="s">
        <v>111</v>
      </c>
      <c r="B7" s="449">
        <f>landbouw!B8</f>
        <v>366.854180459882</v>
      </c>
      <c r="C7" s="449">
        <f>landbouw!C8</f>
        <v>0</v>
      </c>
      <c r="D7" s="449">
        <f>landbouw!D8</f>
        <v>218.796492891154</v>
      </c>
      <c r="E7" s="449">
        <f>landbouw!E8</f>
        <v>13.681114516239228</v>
      </c>
      <c r="F7" s="449">
        <f>landbouw!F8</f>
        <v>1190.2167194472174</v>
      </c>
      <c r="G7" s="449">
        <f>landbouw!G8</f>
        <v>0</v>
      </c>
      <c r="H7" s="449">
        <f>landbouw!H8</f>
        <v>0</v>
      </c>
      <c r="I7" s="449">
        <f>landbouw!I8</f>
        <v>0</v>
      </c>
      <c r="J7" s="449">
        <f>landbouw!J8</f>
        <v>96.301033495739517</v>
      </c>
      <c r="K7" s="449">
        <f>landbouw!K8</f>
        <v>0</v>
      </c>
      <c r="L7" s="449">
        <f>landbouw!L8</f>
        <v>0</v>
      </c>
      <c r="M7" s="449">
        <f>landbouw!M8</f>
        <v>0</v>
      </c>
      <c r="N7" s="449">
        <f>landbouw!N8</f>
        <v>0</v>
      </c>
      <c r="O7" s="449">
        <f>landbouw!O8</f>
        <v>0</v>
      </c>
      <c r="P7" s="450">
        <f>landbouw!P8</f>
        <v>0</v>
      </c>
      <c r="Q7" s="448">
        <f t="shared" si="0"/>
        <v>1885.8495408102322</v>
      </c>
    </row>
    <row r="8" spans="1:17">
      <c r="A8" s="448" t="s">
        <v>618</v>
      </c>
      <c r="B8" s="449">
        <f>industrie!B18</f>
        <v>4980.2673162103029</v>
      </c>
      <c r="C8" s="449">
        <f>industrie!C18</f>
        <v>0</v>
      </c>
      <c r="D8" s="449">
        <f>industrie!D18</f>
        <v>1092.7948410532342</v>
      </c>
      <c r="E8" s="449">
        <f>industrie!E18</f>
        <v>14.663907721651547</v>
      </c>
      <c r="F8" s="449">
        <f>industrie!F18</f>
        <v>460.55226593216361</v>
      </c>
      <c r="G8" s="449">
        <f>industrie!G18</f>
        <v>0</v>
      </c>
      <c r="H8" s="449">
        <f>industrie!H18</f>
        <v>0</v>
      </c>
      <c r="I8" s="449">
        <f>industrie!I18</f>
        <v>0</v>
      </c>
      <c r="J8" s="449">
        <f>industrie!J18</f>
        <v>0.57234988373788431</v>
      </c>
      <c r="K8" s="449">
        <f>industrie!K18</f>
        <v>0</v>
      </c>
      <c r="L8" s="449">
        <f>industrie!L18</f>
        <v>0</v>
      </c>
      <c r="M8" s="449">
        <f>industrie!M18</f>
        <v>0</v>
      </c>
      <c r="N8" s="449">
        <f>industrie!N18</f>
        <v>157.95444705618715</v>
      </c>
      <c r="O8" s="449">
        <f>industrie!O18</f>
        <v>0</v>
      </c>
      <c r="P8" s="450">
        <f>industrie!P18</f>
        <v>0</v>
      </c>
      <c r="Q8" s="448">
        <f t="shared" si="0"/>
        <v>6706.8051278572766</v>
      </c>
    </row>
    <row r="9" spans="1:17" s="454" customFormat="1">
      <c r="A9" s="452" t="s">
        <v>544</v>
      </c>
      <c r="B9" s="453">
        <f>transport!B14</f>
        <v>78.649161455896831</v>
      </c>
      <c r="C9" s="453">
        <f>transport!C14</f>
        <v>0</v>
      </c>
      <c r="D9" s="453">
        <f>transport!D14</f>
        <v>154.85746253281795</v>
      </c>
      <c r="E9" s="453">
        <f>transport!E14</f>
        <v>84.124965457046713</v>
      </c>
      <c r="F9" s="453">
        <f>transport!F14</f>
        <v>0</v>
      </c>
      <c r="G9" s="453">
        <f>transport!G14</f>
        <v>37731.118412753072</v>
      </c>
      <c r="H9" s="453">
        <f>transport!H14</f>
        <v>9371.8929688444587</v>
      </c>
      <c r="I9" s="453">
        <f>transport!I14</f>
        <v>0</v>
      </c>
      <c r="J9" s="453">
        <f>transport!J14</f>
        <v>0</v>
      </c>
      <c r="K9" s="453">
        <f>transport!K14</f>
        <v>0</v>
      </c>
      <c r="L9" s="453">
        <f>transport!L14</f>
        <v>0</v>
      </c>
      <c r="M9" s="453">
        <f>transport!M14</f>
        <v>2775.8154235095094</v>
      </c>
      <c r="N9" s="453">
        <f>transport!N14</f>
        <v>0</v>
      </c>
      <c r="O9" s="453">
        <f>transport!O14</f>
        <v>0</v>
      </c>
      <c r="P9" s="453">
        <f>transport!P14</f>
        <v>0</v>
      </c>
      <c r="Q9" s="452">
        <f>SUM(B9:P9)</f>
        <v>50196.458394552792</v>
      </c>
    </row>
    <row r="10" spans="1:17">
      <c r="A10" s="448" t="s">
        <v>534</v>
      </c>
      <c r="B10" s="449">
        <f>transport!B54</f>
        <v>24.28278808442397</v>
      </c>
      <c r="C10" s="449">
        <f>transport!C54</f>
        <v>0</v>
      </c>
      <c r="D10" s="449">
        <f>transport!D54</f>
        <v>0</v>
      </c>
      <c r="E10" s="449">
        <f>transport!E54</f>
        <v>0</v>
      </c>
      <c r="F10" s="449">
        <f>transport!F54</f>
        <v>0</v>
      </c>
      <c r="G10" s="449">
        <f>transport!G54</f>
        <v>1733.2616373825292</v>
      </c>
      <c r="H10" s="449">
        <f>transport!H54</f>
        <v>0</v>
      </c>
      <c r="I10" s="449">
        <f>transport!I54</f>
        <v>0</v>
      </c>
      <c r="J10" s="449">
        <f>transport!J54</f>
        <v>0</v>
      </c>
      <c r="K10" s="449">
        <f>transport!K54</f>
        <v>0</v>
      </c>
      <c r="L10" s="449">
        <f>transport!L54</f>
        <v>0</v>
      </c>
      <c r="M10" s="449">
        <f>transport!M54</f>
        <v>95.708270386125562</v>
      </c>
      <c r="N10" s="449">
        <f>transport!N54</f>
        <v>0</v>
      </c>
      <c r="O10" s="449">
        <f>transport!O54</f>
        <v>0</v>
      </c>
      <c r="P10" s="450">
        <f>transport!P54</f>
        <v>0</v>
      </c>
      <c r="Q10" s="448">
        <f t="shared" si="0"/>
        <v>1853.2526958530789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364.52565110872001</v>
      </c>
      <c r="C14" s="456"/>
      <c r="D14" s="456">
        <f>'SEAP template'!E25</f>
        <v>1018.2945948694399</v>
      </c>
      <c r="E14" s="456"/>
      <c r="F14" s="456"/>
      <c r="G14" s="456"/>
      <c r="H14" s="456"/>
      <c r="I14" s="456"/>
      <c r="J14" s="456"/>
      <c r="K14" s="456"/>
      <c r="L14" s="456"/>
      <c r="M14" s="456"/>
      <c r="N14" s="456"/>
      <c r="O14" s="456"/>
      <c r="P14" s="457"/>
      <c r="Q14" s="448">
        <f t="shared" si="0"/>
        <v>1382.8202459781601</v>
      </c>
    </row>
    <row r="15" spans="1:17" s="460" customFormat="1">
      <c r="A15" s="458" t="s">
        <v>538</v>
      </c>
      <c r="B15" s="459">
        <f ca="1">SUM(B4:B14)</f>
        <v>33007.735077881342</v>
      </c>
      <c r="C15" s="459">
        <f t="shared" ref="C15:Q15" ca="1" si="1">SUM(C4:C14)</f>
        <v>0</v>
      </c>
      <c r="D15" s="459">
        <f t="shared" ca="1" si="1"/>
        <v>50132.982807952831</v>
      </c>
      <c r="E15" s="459">
        <f t="shared" si="1"/>
        <v>1481.3478575975719</v>
      </c>
      <c r="F15" s="459">
        <f t="shared" ca="1" si="1"/>
        <v>33293.4526041684</v>
      </c>
      <c r="G15" s="459">
        <f t="shared" si="1"/>
        <v>39464.380050135602</v>
      </c>
      <c r="H15" s="459">
        <f t="shared" si="1"/>
        <v>9371.8929688444587</v>
      </c>
      <c r="I15" s="459">
        <f t="shared" si="1"/>
        <v>0</v>
      </c>
      <c r="J15" s="459">
        <f t="shared" si="1"/>
        <v>250.60390240661556</v>
      </c>
      <c r="K15" s="459">
        <f t="shared" si="1"/>
        <v>0</v>
      </c>
      <c r="L15" s="459">
        <f t="shared" ca="1" si="1"/>
        <v>0</v>
      </c>
      <c r="M15" s="459">
        <f t="shared" si="1"/>
        <v>2871.523693895635</v>
      </c>
      <c r="N15" s="459">
        <f t="shared" ca="1" si="1"/>
        <v>6845.9325720323304</v>
      </c>
      <c r="O15" s="459">
        <f t="shared" si="1"/>
        <v>256.85995462799423</v>
      </c>
      <c r="P15" s="459">
        <f t="shared" si="1"/>
        <v>853.12004569055682</v>
      </c>
      <c r="Q15" s="459">
        <f t="shared" ca="1" si="1"/>
        <v>177829.83153523333</v>
      </c>
    </row>
    <row r="17" spans="1:17">
      <c r="A17" s="461" t="s">
        <v>539</v>
      </c>
      <c r="B17" s="777">
        <f ca="1">huishoudens!B10</f>
        <v>0.19880539763579366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4184.8150599700757</v>
      </c>
      <c r="C22" s="449">
        <f t="shared" ref="C22:C32" ca="1" si="3">C4*$C$17</f>
        <v>0</v>
      </c>
      <c r="D22" s="449">
        <f t="shared" ref="D22:D32" si="4">D4*$D$17</f>
        <v>7667.7282661384415</v>
      </c>
      <c r="E22" s="449">
        <f t="shared" ref="E22:E32" si="5">E4*$E$17</f>
        <v>307.08525331087367</v>
      </c>
      <c r="F22" s="449">
        <f t="shared" ref="F22:F32" si="6">F4*$F$17</f>
        <v>8204.1898991618582</v>
      </c>
      <c r="G22" s="449">
        <f t="shared" ref="G22:G32" si="7">G4*$G$17</f>
        <v>0</v>
      </c>
      <c r="H22" s="449">
        <f t="shared" ref="H22:H32" si="8">H4*$H$17</f>
        <v>0</v>
      </c>
      <c r="I22" s="449">
        <f t="shared" ref="I22:I32" si="9">I4*$I$17</f>
        <v>0</v>
      </c>
      <c r="J22" s="449">
        <f t="shared" ref="J22:J32" si="10">J4*$J$17</f>
        <v>54.418123454493319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20418.23660203574</v>
      </c>
    </row>
    <row r="23" spans="1:17">
      <c r="A23" s="448" t="s">
        <v>155</v>
      </c>
      <c r="B23" s="449">
        <f t="shared" ca="1" si="2"/>
        <v>1108.322187485647</v>
      </c>
      <c r="C23" s="449">
        <f t="shared" ca="1" si="3"/>
        <v>0</v>
      </c>
      <c r="D23" s="449">
        <f t="shared" ca="1" si="4"/>
        <v>1957.2160960160088</v>
      </c>
      <c r="E23" s="449">
        <f t="shared" si="5"/>
        <v>3.6500231570243185</v>
      </c>
      <c r="F23" s="449">
        <f t="shared" ca="1" si="6"/>
        <v>244.40662705481006</v>
      </c>
      <c r="G23" s="449">
        <f t="shared" si="7"/>
        <v>0</v>
      </c>
      <c r="H23" s="449">
        <f t="shared" si="8"/>
        <v>0</v>
      </c>
      <c r="I23" s="449">
        <f t="shared" si="9"/>
        <v>0</v>
      </c>
      <c r="J23" s="449">
        <f t="shared" si="10"/>
        <v>2.4802811135951792E-3</v>
      </c>
      <c r="K23" s="449">
        <f t="shared" si="11"/>
        <v>0</v>
      </c>
      <c r="L23" s="449">
        <f t="shared" ca="1" si="12"/>
        <v>0</v>
      </c>
      <c r="M23" s="449">
        <f t="shared" si="13"/>
        <v>0</v>
      </c>
      <c r="N23" s="449">
        <f t="shared" ca="1" si="14"/>
        <v>0</v>
      </c>
      <c r="O23" s="449">
        <f t="shared" si="15"/>
        <v>0</v>
      </c>
      <c r="P23" s="450">
        <f t="shared" si="16"/>
        <v>0</v>
      </c>
      <c r="Q23" s="448">
        <f t="shared" ref="Q23:Q31" ca="1" si="17">SUM(B23:P23)</f>
        <v>3313.5974139946038</v>
      </c>
    </row>
    <row r="24" spans="1:17">
      <c r="A24" s="448" t="s">
        <v>193</v>
      </c>
      <c r="B24" s="449">
        <f t="shared" ca="1" si="2"/>
        <v>113.00894023209057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113.00894023209057</v>
      </c>
    </row>
    <row r="25" spans="1:17">
      <c r="A25" s="448" t="s">
        <v>111</v>
      </c>
      <c r="B25" s="449">
        <f t="shared" ca="1" si="2"/>
        <v>72.932591220680052</v>
      </c>
      <c r="C25" s="449">
        <f t="shared" ca="1" si="3"/>
        <v>0</v>
      </c>
      <c r="D25" s="449">
        <f t="shared" si="4"/>
        <v>44.196891564013114</v>
      </c>
      <c r="E25" s="449">
        <f t="shared" si="5"/>
        <v>3.1056129951863047</v>
      </c>
      <c r="F25" s="449">
        <f t="shared" si="6"/>
        <v>317.78786409240706</v>
      </c>
      <c r="G25" s="449">
        <f t="shared" si="7"/>
        <v>0</v>
      </c>
      <c r="H25" s="449">
        <f t="shared" si="8"/>
        <v>0</v>
      </c>
      <c r="I25" s="449">
        <f t="shared" si="9"/>
        <v>0</v>
      </c>
      <c r="J25" s="449">
        <f t="shared" si="10"/>
        <v>34.090565857491789</v>
      </c>
      <c r="K25" s="449">
        <f t="shared" si="11"/>
        <v>0</v>
      </c>
      <c r="L25" s="449">
        <f t="shared" si="12"/>
        <v>0</v>
      </c>
      <c r="M25" s="449">
        <f t="shared" si="13"/>
        <v>0</v>
      </c>
      <c r="N25" s="449">
        <f t="shared" si="14"/>
        <v>0</v>
      </c>
      <c r="O25" s="449">
        <f t="shared" si="15"/>
        <v>0</v>
      </c>
      <c r="P25" s="450">
        <f t="shared" si="16"/>
        <v>0</v>
      </c>
      <c r="Q25" s="448">
        <f t="shared" ca="1" si="17"/>
        <v>472.11352572977836</v>
      </c>
    </row>
    <row r="26" spans="1:17">
      <c r="A26" s="448" t="s">
        <v>618</v>
      </c>
      <c r="B26" s="449">
        <f t="shared" ca="1" si="2"/>
        <v>990.1040241317362</v>
      </c>
      <c r="C26" s="449">
        <f t="shared" ca="1" si="3"/>
        <v>0</v>
      </c>
      <c r="D26" s="449">
        <f t="shared" si="4"/>
        <v>220.74455789275333</v>
      </c>
      <c r="E26" s="449">
        <f t="shared" si="5"/>
        <v>3.3287070528149014</v>
      </c>
      <c r="F26" s="449">
        <f t="shared" si="6"/>
        <v>122.96745500388769</v>
      </c>
      <c r="G26" s="449">
        <f t="shared" si="7"/>
        <v>0</v>
      </c>
      <c r="H26" s="449">
        <f t="shared" si="8"/>
        <v>0</v>
      </c>
      <c r="I26" s="449">
        <f t="shared" si="9"/>
        <v>0</v>
      </c>
      <c r="J26" s="449">
        <f t="shared" si="10"/>
        <v>0.20261185884321103</v>
      </c>
      <c r="K26" s="449">
        <f t="shared" si="11"/>
        <v>0</v>
      </c>
      <c r="L26" s="449">
        <f t="shared" si="12"/>
        <v>0</v>
      </c>
      <c r="M26" s="449">
        <f t="shared" si="13"/>
        <v>0</v>
      </c>
      <c r="N26" s="449">
        <f t="shared" si="14"/>
        <v>0</v>
      </c>
      <c r="O26" s="449">
        <f t="shared" si="15"/>
        <v>0</v>
      </c>
      <c r="P26" s="450">
        <f t="shared" si="16"/>
        <v>0</v>
      </c>
      <c r="Q26" s="448">
        <f t="shared" ca="1" si="17"/>
        <v>1337.3473559400354</v>
      </c>
    </row>
    <row r="27" spans="1:17" s="454" customFormat="1">
      <c r="A27" s="452" t="s">
        <v>544</v>
      </c>
      <c r="B27" s="771">
        <f t="shared" ca="1" si="2"/>
        <v>15.635877816961306</v>
      </c>
      <c r="C27" s="453">
        <f t="shared" ca="1" si="3"/>
        <v>0</v>
      </c>
      <c r="D27" s="453">
        <f t="shared" si="4"/>
        <v>31.281207431629227</v>
      </c>
      <c r="E27" s="453">
        <f t="shared" si="5"/>
        <v>19.096367158749604</v>
      </c>
      <c r="F27" s="453">
        <f t="shared" si="6"/>
        <v>0</v>
      </c>
      <c r="G27" s="453">
        <f t="shared" si="7"/>
        <v>10074.208616205071</v>
      </c>
      <c r="H27" s="453">
        <f t="shared" si="8"/>
        <v>2333.6013492422703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12473.823417854681</v>
      </c>
    </row>
    <row r="28" spans="1:17" ht="16.5" customHeight="1">
      <c r="A28" s="448" t="s">
        <v>534</v>
      </c>
      <c r="B28" s="449">
        <f t="shared" ca="1" si="2"/>
        <v>4.82754934082962</v>
      </c>
      <c r="C28" s="449">
        <f t="shared" ca="1" si="3"/>
        <v>0</v>
      </c>
      <c r="D28" s="449">
        <f t="shared" si="4"/>
        <v>0</v>
      </c>
      <c r="E28" s="449">
        <f t="shared" si="5"/>
        <v>0</v>
      </c>
      <c r="F28" s="449">
        <f t="shared" si="6"/>
        <v>0</v>
      </c>
      <c r="G28" s="449">
        <f t="shared" si="7"/>
        <v>462.78085718113533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467.60840652196498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72.469667017115668</v>
      </c>
      <c r="C32" s="449">
        <f t="shared" ca="1" si="3"/>
        <v>0</v>
      </c>
      <c r="D32" s="449">
        <f t="shared" si="4"/>
        <v>205.69550816362687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278.16517518074255</v>
      </c>
    </row>
    <row r="33" spans="1:17" s="460" customFormat="1">
      <c r="A33" s="458" t="s">
        <v>538</v>
      </c>
      <c r="B33" s="459">
        <f ca="1">SUM(B22:B32)</f>
        <v>6562.1158972151379</v>
      </c>
      <c r="C33" s="459">
        <f t="shared" ref="C33:Q33" ca="1" si="19">SUM(C22:C32)</f>
        <v>0</v>
      </c>
      <c r="D33" s="459">
        <f t="shared" ca="1" si="19"/>
        <v>10126.862527206473</v>
      </c>
      <c r="E33" s="459">
        <f t="shared" si="19"/>
        <v>336.26596367464873</v>
      </c>
      <c r="F33" s="459">
        <f t="shared" ca="1" si="19"/>
        <v>8889.3518453129618</v>
      </c>
      <c r="G33" s="459">
        <f t="shared" si="19"/>
        <v>10536.989473386206</v>
      </c>
      <c r="H33" s="459">
        <f t="shared" si="19"/>
        <v>2333.6013492422703</v>
      </c>
      <c r="I33" s="459">
        <f t="shared" si="19"/>
        <v>0</v>
      </c>
      <c r="J33" s="459">
        <f t="shared" si="19"/>
        <v>88.713781451941927</v>
      </c>
      <c r="K33" s="459">
        <f t="shared" si="19"/>
        <v>0</v>
      </c>
      <c r="L33" s="459">
        <f t="shared" ca="1" si="19"/>
        <v>0</v>
      </c>
      <c r="M33" s="459">
        <f t="shared" si="19"/>
        <v>0</v>
      </c>
      <c r="N33" s="459">
        <f t="shared" ca="1" si="19"/>
        <v>0</v>
      </c>
      <c r="O33" s="459">
        <f t="shared" si="19"/>
        <v>0</v>
      </c>
      <c r="P33" s="459">
        <f t="shared" si="19"/>
        <v>0</v>
      </c>
      <c r="Q33" s="459">
        <f t="shared" ca="1" si="19"/>
        <v>38873.900837489644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3314.9029637857097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3314.9029637857097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0.19880539763579366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0.19880539763579366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0.19880539763579366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0.19880539763579366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4579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959.81</v>
      </c>
      <c r="C14" s="326"/>
      <c r="D14" s="326"/>
      <c r="E14" s="326"/>
      <c r="F14" s="326"/>
    </row>
    <row r="15" spans="1:6">
      <c r="A15" s="1307" t="s">
        <v>183</v>
      </c>
      <c r="B15" s="1308">
        <v>1</v>
      </c>
      <c r="C15" s="326"/>
      <c r="D15" s="326"/>
      <c r="E15" s="326"/>
      <c r="F15" s="326"/>
    </row>
    <row r="16" spans="1:6">
      <c r="A16" s="1307" t="s">
        <v>6</v>
      </c>
      <c r="B16" s="1308">
        <v>52</v>
      </c>
      <c r="C16" s="326"/>
      <c r="D16" s="326"/>
      <c r="E16" s="326"/>
      <c r="F16" s="326"/>
    </row>
    <row r="17" spans="1:6">
      <c r="A17" s="1307" t="s">
        <v>7</v>
      </c>
      <c r="B17" s="1308">
        <v>229</v>
      </c>
      <c r="C17" s="326"/>
      <c r="D17" s="326"/>
      <c r="E17" s="326"/>
      <c r="F17" s="326"/>
    </row>
    <row r="18" spans="1:6">
      <c r="A18" s="1307" t="s">
        <v>8</v>
      </c>
      <c r="B18" s="1308">
        <v>249</v>
      </c>
      <c r="C18" s="326"/>
      <c r="D18" s="326"/>
      <c r="E18" s="326"/>
      <c r="F18" s="326"/>
    </row>
    <row r="19" spans="1:6">
      <c r="A19" s="1307" t="s">
        <v>9</v>
      </c>
      <c r="B19" s="1308">
        <v>191</v>
      </c>
      <c r="C19" s="326"/>
      <c r="D19" s="326"/>
      <c r="E19" s="326"/>
      <c r="F19" s="326"/>
    </row>
    <row r="20" spans="1:6">
      <c r="A20" s="1307" t="s">
        <v>10</v>
      </c>
      <c r="B20" s="1308">
        <v>160</v>
      </c>
      <c r="C20" s="326"/>
      <c r="D20" s="326"/>
      <c r="E20" s="326"/>
      <c r="F20" s="326"/>
    </row>
    <row r="21" spans="1:6">
      <c r="A21" s="1307" t="s">
        <v>11</v>
      </c>
      <c r="B21" s="1308">
        <v>540</v>
      </c>
      <c r="C21" s="326"/>
      <c r="D21" s="326"/>
      <c r="E21" s="326"/>
      <c r="F21" s="326"/>
    </row>
    <row r="22" spans="1:6">
      <c r="A22" s="1307" t="s">
        <v>12</v>
      </c>
      <c r="B22" s="1308">
        <v>1873</v>
      </c>
      <c r="C22" s="326"/>
      <c r="D22" s="326"/>
      <c r="E22" s="326"/>
      <c r="F22" s="326"/>
    </row>
    <row r="23" spans="1:6">
      <c r="A23" s="1307" t="s">
        <v>13</v>
      </c>
      <c r="B23" s="1308">
        <v>52</v>
      </c>
      <c r="C23" s="326"/>
      <c r="D23" s="326"/>
      <c r="E23" s="326"/>
      <c r="F23" s="326"/>
    </row>
    <row r="24" spans="1:6">
      <c r="A24" s="1307" t="s">
        <v>14</v>
      </c>
      <c r="B24" s="1308">
        <v>1</v>
      </c>
      <c r="C24" s="326"/>
      <c r="D24" s="326"/>
      <c r="E24" s="326"/>
      <c r="F24" s="326"/>
    </row>
    <row r="25" spans="1:6">
      <c r="A25" s="1307" t="s">
        <v>15</v>
      </c>
      <c r="B25" s="1308">
        <v>190</v>
      </c>
      <c r="C25" s="326"/>
      <c r="D25" s="326"/>
      <c r="E25" s="326"/>
      <c r="F25" s="326"/>
    </row>
    <row r="26" spans="1:6">
      <c r="A26" s="1307" t="s">
        <v>16</v>
      </c>
      <c r="B26" s="1308">
        <v>59</v>
      </c>
      <c r="C26" s="326"/>
      <c r="D26" s="326"/>
      <c r="E26" s="326"/>
      <c r="F26" s="326"/>
    </row>
    <row r="27" spans="1:6">
      <c r="A27" s="1307" t="s">
        <v>17</v>
      </c>
      <c r="B27" s="1308">
        <v>8</v>
      </c>
      <c r="C27" s="326"/>
      <c r="D27" s="326"/>
      <c r="E27" s="326"/>
      <c r="F27" s="326"/>
    </row>
    <row r="28" spans="1:6" s="43" customFormat="1">
      <c r="A28" s="1309" t="s">
        <v>18</v>
      </c>
      <c r="B28" s="1310">
        <v>0</v>
      </c>
      <c r="C28" s="332"/>
      <c r="D28" s="332"/>
      <c r="E28" s="332"/>
      <c r="F28" s="332"/>
    </row>
    <row r="29" spans="1:6">
      <c r="A29" s="1309" t="s">
        <v>688</v>
      </c>
      <c r="B29" s="1310">
        <v>75</v>
      </c>
      <c r="C29" s="332"/>
      <c r="D29" s="332"/>
      <c r="E29" s="332"/>
      <c r="F29" s="332"/>
    </row>
    <row r="30" spans="1:6">
      <c r="A30" s="1302" t="s">
        <v>689</v>
      </c>
      <c r="B30" s="1311">
        <v>10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2447</v>
      </c>
      <c r="D39" s="1308">
        <v>42036601.132300697</v>
      </c>
      <c r="E39" s="1308">
        <v>4373</v>
      </c>
      <c r="F39" s="1308">
        <v>17751864.058310401</v>
      </c>
    </row>
    <row r="40" spans="1:6">
      <c r="A40" s="1307" t="s">
        <v>29</v>
      </c>
      <c r="B40" s="1307" t="s">
        <v>28</v>
      </c>
      <c r="C40" s="1308">
        <v>0</v>
      </c>
      <c r="D40" s="1308">
        <v>0</v>
      </c>
      <c r="E40" s="1308">
        <v>0</v>
      </c>
      <c r="F40" s="1308">
        <v>0</v>
      </c>
    </row>
    <row r="41" spans="1:6">
      <c r="A41" s="1307" t="s">
        <v>31</v>
      </c>
      <c r="B41" s="1307" t="s">
        <v>32</v>
      </c>
      <c r="C41" s="1308">
        <v>43</v>
      </c>
      <c r="D41" s="1308">
        <v>913207.63184800697</v>
      </c>
      <c r="E41" s="1308">
        <v>97</v>
      </c>
      <c r="F41" s="1308">
        <v>601629.37977748702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113762.99458261</v>
      </c>
      <c r="E44" s="1308">
        <v>11</v>
      </c>
      <c r="F44" s="1308">
        <v>122035.74483742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183211.92180109301</v>
      </c>
      <c r="E48" s="1308">
        <v>6</v>
      </c>
      <c r="F48" s="1308">
        <v>227353.064942606</v>
      </c>
    </row>
    <row r="49" spans="1:6">
      <c r="A49" s="1307" t="s">
        <v>31</v>
      </c>
      <c r="B49" s="1307" t="s">
        <v>39</v>
      </c>
      <c r="C49" s="1308">
        <v>0</v>
      </c>
      <c r="D49" s="1308">
        <v>0</v>
      </c>
      <c r="E49" s="1308">
        <v>0</v>
      </c>
      <c r="F49" s="1308">
        <v>0</v>
      </c>
    </row>
    <row r="50" spans="1:6">
      <c r="A50" s="1307" t="s">
        <v>31</v>
      </c>
      <c r="B50" s="1307" t="s">
        <v>40</v>
      </c>
      <c r="C50" s="1308">
        <v>0</v>
      </c>
      <c r="D50" s="1308">
        <v>0</v>
      </c>
      <c r="E50" s="1308">
        <v>7</v>
      </c>
      <c r="F50" s="1308">
        <v>4029249.1266527898</v>
      </c>
    </row>
    <row r="51" spans="1:6">
      <c r="A51" s="1307" t="s">
        <v>41</v>
      </c>
      <c r="B51" s="1307" t="s">
        <v>42</v>
      </c>
      <c r="C51" s="1308">
        <v>10</v>
      </c>
      <c r="D51" s="1308">
        <v>242299.54915963899</v>
      </c>
      <c r="E51" s="1308">
        <v>45</v>
      </c>
      <c r="F51" s="1308">
        <v>366854.18045988202</v>
      </c>
    </row>
    <row r="52" spans="1:6">
      <c r="A52" s="1307" t="s">
        <v>41</v>
      </c>
      <c r="B52" s="1307" t="s">
        <v>28</v>
      </c>
      <c r="C52" s="1308">
        <v>0</v>
      </c>
      <c r="D52" s="1308">
        <v>0</v>
      </c>
      <c r="E52" s="1308">
        <v>0</v>
      </c>
      <c r="F52" s="1308">
        <v>0</v>
      </c>
    </row>
    <row r="53" spans="1:6">
      <c r="A53" s="1307" t="s">
        <v>43</v>
      </c>
      <c r="B53" s="1307" t="s">
        <v>44</v>
      </c>
      <c r="C53" s="1308">
        <v>65</v>
      </c>
      <c r="D53" s="1308">
        <v>1018294.59486944</v>
      </c>
      <c r="E53" s="1308">
        <v>129</v>
      </c>
      <c r="F53" s="1308">
        <v>364525.65110871999</v>
      </c>
    </row>
    <row r="54" spans="1:6">
      <c r="A54" s="1307" t="s">
        <v>45</v>
      </c>
      <c r="B54" s="1307" t="s">
        <v>46</v>
      </c>
      <c r="C54" s="1308">
        <v>0</v>
      </c>
      <c r="D54" s="1308">
        <v>0</v>
      </c>
      <c r="E54" s="1308">
        <v>1</v>
      </c>
      <c r="F54" s="1308">
        <v>568440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43</v>
      </c>
      <c r="D57" s="1308">
        <v>2079402.95922171</v>
      </c>
      <c r="E57" s="1308">
        <v>90</v>
      </c>
      <c r="F57" s="1308">
        <v>709454.37925418199</v>
      </c>
    </row>
    <row r="58" spans="1:6">
      <c r="A58" s="1307" t="s">
        <v>48</v>
      </c>
      <c r="B58" s="1307" t="s">
        <v>50</v>
      </c>
      <c r="C58" s="1308">
        <v>32</v>
      </c>
      <c r="D58" s="1308">
        <v>3031437.5859400202</v>
      </c>
      <c r="E58" s="1308">
        <v>57</v>
      </c>
      <c r="F58" s="1308">
        <v>1448276.15085671</v>
      </c>
    </row>
    <row r="59" spans="1:6">
      <c r="A59" s="1307" t="s">
        <v>48</v>
      </c>
      <c r="B59" s="1307" t="s">
        <v>51</v>
      </c>
      <c r="C59" s="1308">
        <v>51</v>
      </c>
      <c r="D59" s="1308">
        <v>1314993.20456735</v>
      </c>
      <c r="E59" s="1308">
        <v>116</v>
      </c>
      <c r="F59" s="1308">
        <v>1611410.93707259</v>
      </c>
    </row>
    <row r="60" spans="1:6">
      <c r="A60" s="1307" t="s">
        <v>48</v>
      </c>
      <c r="B60" s="1307" t="s">
        <v>52</v>
      </c>
      <c r="C60" s="1308">
        <v>26</v>
      </c>
      <c r="D60" s="1308">
        <v>918889.66118540696</v>
      </c>
      <c r="E60" s="1308">
        <v>41</v>
      </c>
      <c r="F60" s="1308">
        <v>559832.27172125899</v>
      </c>
    </row>
    <row r="61" spans="1:6">
      <c r="A61" s="1307" t="s">
        <v>48</v>
      </c>
      <c r="B61" s="1307" t="s">
        <v>53</v>
      </c>
      <c r="C61" s="1308">
        <v>72</v>
      </c>
      <c r="D61" s="1308">
        <v>1963827.33582942</v>
      </c>
      <c r="E61" s="1308">
        <v>160</v>
      </c>
      <c r="F61" s="1308">
        <v>1065280.00419341</v>
      </c>
    </row>
    <row r="62" spans="1:6">
      <c r="A62" s="1307" t="s">
        <v>48</v>
      </c>
      <c r="B62" s="1307" t="s">
        <v>54</v>
      </c>
      <c r="C62" s="1308">
        <v>11</v>
      </c>
      <c r="D62" s="1308">
        <v>1421447.69637753</v>
      </c>
      <c r="E62" s="1308">
        <v>14</v>
      </c>
      <c r="F62" s="1308">
        <v>180656.19730530001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36127.251467546201</v>
      </c>
      <c r="E65" s="1308">
        <v>0</v>
      </c>
      <c r="F65" s="1308">
        <v>0</v>
      </c>
    </row>
    <row r="66" spans="1:6">
      <c r="A66" s="1307" t="s">
        <v>55</v>
      </c>
      <c r="B66" s="1307" t="s">
        <v>57</v>
      </c>
      <c r="C66" s="1308">
        <v>0</v>
      </c>
      <c r="D66" s="1308">
        <v>0</v>
      </c>
      <c r="E66" s="1308">
        <v>6</v>
      </c>
      <c r="F66" s="1308">
        <v>39827.008916567203</v>
      </c>
    </row>
    <row r="67" spans="1:6">
      <c r="A67" s="1309" t="s">
        <v>55</v>
      </c>
      <c r="B67" s="1309" t="s">
        <v>58</v>
      </c>
      <c r="C67" s="1308">
        <v>0</v>
      </c>
      <c r="D67" s="1308">
        <v>0</v>
      </c>
      <c r="E67" s="1308">
        <v>0</v>
      </c>
      <c r="F67" s="1308">
        <v>0</v>
      </c>
    </row>
    <row r="68" spans="1:6">
      <c r="A68" s="1302" t="s">
        <v>55</v>
      </c>
      <c r="B68" s="1302" t="s">
        <v>59</v>
      </c>
      <c r="C68" s="1311">
        <v>0</v>
      </c>
      <c r="D68" s="1311">
        <v>0</v>
      </c>
      <c r="E68" s="1311">
        <v>3</v>
      </c>
      <c r="F68" s="1311">
        <v>13789.679448467899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29152068</v>
      </c>
      <c r="E73" s="447"/>
      <c r="F73" s="326"/>
    </row>
    <row r="74" spans="1:6">
      <c r="A74" s="1307" t="s">
        <v>63</v>
      </c>
      <c r="B74" s="1307" t="s">
        <v>639</v>
      </c>
      <c r="C74" s="1321" t="s">
        <v>641</v>
      </c>
      <c r="D74" s="1322">
        <v>3400427.2467389284</v>
      </c>
      <c r="E74" s="447"/>
      <c r="F74" s="326"/>
    </row>
    <row r="75" spans="1:6">
      <c r="A75" s="1307" t="s">
        <v>64</v>
      </c>
      <c r="B75" s="1307" t="s">
        <v>638</v>
      </c>
      <c r="C75" s="1321" t="s">
        <v>642</v>
      </c>
      <c r="D75" s="1322">
        <v>20652363</v>
      </c>
      <c r="E75" s="447"/>
      <c r="F75" s="326"/>
    </row>
    <row r="76" spans="1:6">
      <c r="A76" s="1307" t="s">
        <v>64</v>
      </c>
      <c r="B76" s="1307" t="s">
        <v>639</v>
      </c>
      <c r="C76" s="1321" t="s">
        <v>643</v>
      </c>
      <c r="D76" s="1322">
        <v>1307500.2467389284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513263.50652214303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3297.9419818482656</v>
      </c>
      <c r="C91" s="326"/>
      <c r="D91" s="326"/>
      <c r="E91" s="326"/>
      <c r="F91" s="326"/>
    </row>
    <row r="92" spans="1:6">
      <c r="A92" s="1302" t="s">
        <v>68</v>
      </c>
      <c r="B92" s="1303">
        <v>16.960981937444036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903</v>
      </c>
      <c r="C97" s="326"/>
      <c r="D97" s="326"/>
      <c r="E97" s="326"/>
      <c r="F97" s="326"/>
    </row>
    <row r="98" spans="1:6">
      <c r="A98" s="1307" t="s">
        <v>71</v>
      </c>
      <c r="B98" s="1308">
        <v>1</v>
      </c>
      <c r="C98" s="326"/>
      <c r="D98" s="326"/>
      <c r="E98" s="326"/>
      <c r="F98" s="326"/>
    </row>
    <row r="99" spans="1:6">
      <c r="A99" s="1307" t="s">
        <v>72</v>
      </c>
      <c r="B99" s="1308">
        <v>81</v>
      </c>
      <c r="C99" s="326"/>
      <c r="D99" s="326"/>
      <c r="E99" s="326"/>
      <c r="F99" s="326"/>
    </row>
    <row r="100" spans="1:6">
      <c r="A100" s="1307" t="s">
        <v>73</v>
      </c>
      <c r="B100" s="1308">
        <v>406</v>
      </c>
      <c r="C100" s="326"/>
      <c r="D100" s="326"/>
      <c r="E100" s="326"/>
      <c r="F100" s="326"/>
    </row>
    <row r="101" spans="1:6">
      <c r="A101" s="1307" t="s">
        <v>74</v>
      </c>
      <c r="B101" s="1308">
        <v>58</v>
      </c>
      <c r="C101" s="326"/>
      <c r="D101" s="326"/>
      <c r="E101" s="326"/>
      <c r="F101" s="326"/>
    </row>
    <row r="102" spans="1:6">
      <c r="A102" s="1307" t="s">
        <v>75</v>
      </c>
      <c r="B102" s="1308">
        <v>42</v>
      </c>
      <c r="C102" s="326"/>
      <c r="D102" s="326"/>
      <c r="E102" s="326"/>
      <c r="F102" s="326"/>
    </row>
    <row r="103" spans="1:6">
      <c r="A103" s="1307" t="s">
        <v>76</v>
      </c>
      <c r="B103" s="1308">
        <v>145</v>
      </c>
      <c r="C103" s="326"/>
      <c r="D103" s="326"/>
      <c r="E103" s="326"/>
      <c r="F103" s="326"/>
    </row>
    <row r="104" spans="1:6">
      <c r="A104" s="1307" t="s">
        <v>77</v>
      </c>
      <c r="B104" s="1308">
        <v>2274</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37</v>
      </c>
      <c r="C123" s="1308">
        <v>34</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92</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38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33007.735077881349</v>
      </c>
      <c r="C3" s="43" t="s">
        <v>169</v>
      </c>
      <c r="D3" s="43"/>
      <c r="E3" s="154"/>
      <c r="F3" s="43"/>
      <c r="G3" s="43"/>
      <c r="H3" s="43"/>
      <c r="I3" s="43"/>
      <c r="J3" s="43"/>
      <c r="K3" s="96"/>
    </row>
    <row r="4" spans="1:11">
      <c r="A4" s="354" t="s">
        <v>170</v>
      </c>
      <c r="B4" s="49">
        <f>IF(ISERROR('SEAP template'!B78+'SEAP template'!C78),0,'SEAP template'!B78+'SEAP template'!C78)</f>
        <v>3314.9029637857097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0.19880539763579366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568.44000000000005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568.44000000000005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0.19880539763579366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113.00894023209057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17751.864058310402</v>
      </c>
      <c r="C5" s="17">
        <f>IF(ISERROR('Eigen informatie GS &amp; warmtenet'!B59),0,'Eigen informatie GS &amp; warmtenet'!B59)</f>
        <v>0</v>
      </c>
      <c r="D5" s="30">
        <f>(SUM(HH_hh_gas_kWh,HH_rest_gas_kWh)/1000)*0.903</f>
        <v>37959.050822467529</v>
      </c>
      <c r="E5" s="17">
        <f>B32*B41</f>
        <v>1352.7984727351263</v>
      </c>
      <c r="F5" s="17">
        <f>B36*B45</f>
        <v>30727.302993115569</v>
      </c>
      <c r="G5" s="18"/>
      <c r="H5" s="17"/>
      <c r="I5" s="17"/>
      <c r="J5" s="17">
        <f>B35*B44+C35*C44</f>
        <v>153.72351258331446</v>
      </c>
      <c r="K5" s="17"/>
      <c r="L5" s="17"/>
      <c r="M5" s="17"/>
      <c r="N5" s="17">
        <f>B34*B43+C34*C43</f>
        <v>6422.2838933270259</v>
      </c>
      <c r="O5" s="17">
        <f>B52*B53*B54</f>
        <v>251.96269386215306</v>
      </c>
      <c r="P5" s="17">
        <f>B60*B61*B62/1000-B60*B61*B62/1000/B63</f>
        <v>800.58090738406179</v>
      </c>
    </row>
    <row r="6" spans="1:16">
      <c r="A6" s="16" t="s">
        <v>604</v>
      </c>
      <c r="B6" s="779">
        <f>kWh_PV_kleiner_dan_10kW</f>
        <v>3297.9419818482656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21049.80604015867</v>
      </c>
      <c r="C8" s="21">
        <f>C5</f>
        <v>0</v>
      </c>
      <c r="D8" s="21">
        <f>D5</f>
        <v>37959.050822467529</v>
      </c>
      <c r="E8" s="21">
        <f>E5</f>
        <v>1352.7984727351263</v>
      </c>
      <c r="F8" s="21">
        <f>F5</f>
        <v>30727.302993115569</v>
      </c>
      <c r="G8" s="21"/>
      <c r="H8" s="21"/>
      <c r="I8" s="21"/>
      <c r="J8" s="21">
        <f>J5</f>
        <v>153.72351258331446</v>
      </c>
      <c r="K8" s="21"/>
      <c r="L8" s="21">
        <f>L5</f>
        <v>0</v>
      </c>
      <c r="M8" s="21">
        <f>M5</f>
        <v>0</v>
      </c>
      <c r="N8" s="21">
        <f>N5</f>
        <v>6422.2838933270259</v>
      </c>
      <c r="O8" s="21">
        <f>O5</f>
        <v>251.96269386215306</v>
      </c>
      <c r="P8" s="21">
        <f>P5</f>
        <v>800.58090738406179</v>
      </c>
    </row>
    <row r="9" spans="1:16">
      <c r="B9" s="19"/>
      <c r="C9" s="19"/>
      <c r="D9" s="254"/>
      <c r="E9" s="19"/>
      <c r="F9" s="19"/>
      <c r="G9" s="19"/>
      <c r="H9" s="19"/>
      <c r="I9" s="19"/>
      <c r="J9" s="19"/>
      <c r="K9" s="19"/>
      <c r="L9" s="19"/>
      <c r="M9" s="19"/>
      <c r="N9" s="19"/>
      <c r="O9" s="19"/>
      <c r="P9" s="19"/>
    </row>
    <row r="10" spans="1:16">
      <c r="A10" s="24" t="s">
        <v>213</v>
      </c>
      <c r="B10" s="25">
        <f ca="1">'EF ele_warmte'!B12</f>
        <v>0.19880539763579366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4184.8150599700757</v>
      </c>
      <c r="C12" s="23">
        <f ca="1">C10*C8</f>
        <v>0</v>
      </c>
      <c r="D12" s="23">
        <f>D8*D10</f>
        <v>7667.7282661384415</v>
      </c>
      <c r="E12" s="23">
        <f>E10*E8</f>
        <v>307.08525331087367</v>
      </c>
      <c r="F12" s="23">
        <f>F10*F8</f>
        <v>8204.1898991618582</v>
      </c>
      <c r="G12" s="23"/>
      <c r="H12" s="23"/>
      <c r="I12" s="23"/>
      <c r="J12" s="23">
        <f>J10*J8</f>
        <v>54.418123454493319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4579</v>
      </c>
      <c r="C26" s="36"/>
      <c r="D26" s="225"/>
    </row>
    <row r="27" spans="1:5" s="15" customFormat="1">
      <c r="A27" s="227" t="s">
        <v>817</v>
      </c>
      <c r="B27" s="37">
        <f>SUM(HH_hh_gas_aantal,HH_rest_gas_aantal)</f>
        <v>2447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2324.65</v>
      </c>
      <c r="C31" s="34" t="s">
        <v>110</v>
      </c>
      <c r="D31" s="171"/>
    </row>
    <row r="32" spans="1:5">
      <c r="A32" s="168" t="s">
        <v>72</v>
      </c>
      <c r="B32" s="33">
        <f>IF((B21*($B$26-($B$27-0.05*$B$27)-$B$60))&lt;0,0,B21*($B$26-($B$27-0.05*$B$27)-$B$60))</f>
        <v>33.527766913508643</v>
      </c>
      <c r="C32" s="34" t="s">
        <v>110</v>
      </c>
      <c r="D32" s="171"/>
    </row>
    <row r="33" spans="1:6">
      <c r="A33" s="168" t="s">
        <v>73</v>
      </c>
      <c r="B33" s="33">
        <f>IF((B22*($B$26-($B$27-0.05*$B$27)-$B$60))&lt;0,0,B22*($B$26-($B$27-0.05*$B$27)-$B$60))</f>
        <v>544.42453220418213</v>
      </c>
      <c r="C33" s="34" t="s">
        <v>110</v>
      </c>
      <c r="D33" s="171"/>
    </row>
    <row r="34" spans="1:6">
      <c r="A34" s="168" t="s">
        <v>74</v>
      </c>
      <c r="B34" s="33">
        <f>IF((B24*($B$26-($B$27-0.05*$B$27)-$B$60))&lt;0,0,B24*($B$26-($B$27-0.05*$B$27)-$B$60))</f>
        <v>104.28352103471157</v>
      </c>
      <c r="C34" s="33">
        <f>B26*C24</f>
        <v>937.65968870315703</v>
      </c>
      <c r="D34" s="230"/>
    </row>
    <row r="35" spans="1:6">
      <c r="A35" s="168" t="s">
        <v>76</v>
      </c>
      <c r="B35" s="33">
        <f>IF((B19*($B$26-($B$27-0.05*$B$27)-$B$60))&lt;0,0,B19*($B$26-($B$27-0.05*$B$27)-$B$60))</f>
        <v>14.574440344918026</v>
      </c>
      <c r="C35" s="33">
        <f>B35/2</f>
        <v>7.2872201724590129</v>
      </c>
      <c r="D35" s="230"/>
    </row>
    <row r="36" spans="1:6">
      <c r="A36" s="168" t="s">
        <v>77</v>
      </c>
      <c r="B36" s="33">
        <f>IF((B18*($B$26-($B$27-0.05*$B$27)-$B$60))&lt;0,0,B18*($B$26-($B$27-0.05*$B$27)-$B$60))</f>
        <v>1481.5397395026789</v>
      </c>
      <c r="C36" s="34" t="s">
        <v>110</v>
      </c>
      <c r="D36" s="171"/>
    </row>
    <row r="37" spans="1:6">
      <c r="A37" s="168" t="s">
        <v>78</v>
      </c>
      <c r="B37" s="33">
        <f>B60</f>
        <v>76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5574.9099404034514</v>
      </c>
      <c r="C5" s="17">
        <f>IF(ISERROR('Eigen informatie GS &amp; warmtenet'!B60),0,'Eigen informatie GS &amp; warmtenet'!B60)</f>
        <v>0</v>
      </c>
      <c r="D5" s="30">
        <f>SUM(D6:D12)</f>
        <v>9689.1885941386572</v>
      </c>
      <c r="E5" s="17">
        <f>SUM(E6:E12)</f>
        <v>16.079397167508009</v>
      </c>
      <c r="F5" s="17">
        <f>SUM(F6:F12)</f>
        <v>915.38062567344582</v>
      </c>
      <c r="G5" s="18"/>
      <c r="H5" s="17"/>
      <c r="I5" s="17"/>
      <c r="J5" s="17">
        <f>SUM(J6:J12)</f>
        <v>7.0064438237151961E-3</v>
      </c>
      <c r="K5" s="17"/>
      <c r="L5" s="17"/>
      <c r="M5" s="17"/>
      <c r="N5" s="17">
        <f>SUM(N6:N12)</f>
        <v>265.69423164911808</v>
      </c>
      <c r="O5" s="17">
        <f>B38*B39*B40</f>
        <v>4.8972607658411542</v>
      </c>
      <c r="P5" s="17">
        <f>B46*B47*B48/1000-B46*B47*B48/1000/B49</f>
        <v>52.539138306495019</v>
      </c>
      <c r="R5" s="32"/>
    </row>
    <row r="6" spans="1:18">
      <c r="A6" s="32" t="s">
        <v>53</v>
      </c>
      <c r="B6" s="37">
        <f>B26</f>
        <v>1065.2800041934102</v>
      </c>
      <c r="C6" s="33"/>
      <c r="D6" s="37">
        <f>IF(ISERROR(TER_kantoor_gas_kWh/1000),0,TER_kantoor_gas_kWh/1000)*0.903</f>
        <v>1773.3360842539664</v>
      </c>
      <c r="E6" s="33">
        <f>$C$26*'E Balans VL '!I12/100/3.6*1000000</f>
        <v>0.25521576770487425</v>
      </c>
      <c r="F6" s="33">
        <f>$C$26*('E Balans VL '!L12+'E Balans VL '!N12)/100/3.6*1000000</f>
        <v>101.01925159287116</v>
      </c>
      <c r="G6" s="34"/>
      <c r="H6" s="33"/>
      <c r="I6" s="33"/>
      <c r="J6" s="33">
        <f>$C$26*('E Balans VL '!D12+'E Balans VL '!E12)/100/3.6*1000000</f>
        <v>0</v>
      </c>
      <c r="K6" s="33"/>
      <c r="L6" s="33"/>
      <c r="M6" s="33"/>
      <c r="N6" s="33">
        <f>$C$26*'E Balans VL '!Y12/100/3.6*1000000</f>
        <v>0.54110714191134657</v>
      </c>
      <c r="O6" s="33"/>
      <c r="P6" s="33"/>
      <c r="R6" s="32"/>
    </row>
    <row r="7" spans="1:18">
      <c r="A7" s="32" t="s">
        <v>52</v>
      </c>
      <c r="B7" s="37">
        <f t="shared" ref="B7:B12" si="0">B27</f>
        <v>559.83227172125896</v>
      </c>
      <c r="C7" s="33"/>
      <c r="D7" s="37">
        <f>IF(ISERROR(TER_horeca_gas_kWh/1000),0,TER_horeca_gas_kWh/1000)*0.903</f>
        <v>829.75736405042244</v>
      </c>
      <c r="E7" s="33">
        <f>$C$27*'E Balans VL '!I9/100/3.6*1000000</f>
        <v>0</v>
      </c>
      <c r="F7" s="33">
        <f>$C$27*('E Balans VL '!L9+'E Balans VL '!N9)/100/3.6*1000000</f>
        <v>45.904930289413208</v>
      </c>
      <c r="G7" s="34"/>
      <c r="H7" s="33"/>
      <c r="I7" s="33"/>
      <c r="J7" s="33">
        <f>$C$27*('E Balans VL '!D9+'E Balans VL '!E9)/100/3.6*1000000</f>
        <v>0</v>
      </c>
      <c r="K7" s="33"/>
      <c r="L7" s="33"/>
      <c r="M7" s="33"/>
      <c r="N7" s="33">
        <f>$C$27*'E Balans VL '!Y9/100/3.6*1000000</f>
        <v>0.17161108369379233</v>
      </c>
      <c r="O7" s="33"/>
      <c r="P7" s="33"/>
      <c r="R7" s="32"/>
    </row>
    <row r="8" spans="1:18">
      <c r="A8" s="6" t="s">
        <v>51</v>
      </c>
      <c r="B8" s="37">
        <f t="shared" si="0"/>
        <v>1611.4109370725901</v>
      </c>
      <c r="C8" s="33"/>
      <c r="D8" s="37">
        <f>IF(ISERROR(TER_handel_gas_kWh/1000),0,TER_handel_gas_kWh/1000)*0.903</f>
        <v>1187.4388637243171</v>
      </c>
      <c r="E8" s="33">
        <f>$C$28*'E Balans VL '!I13/100/3.6*1000000</f>
        <v>5.6632287221633462</v>
      </c>
      <c r="F8" s="33">
        <f>$C$28*('E Balans VL '!L13+'E Balans VL '!N13)/100/3.6*1000000</f>
        <v>147.44120691816909</v>
      </c>
      <c r="G8" s="34"/>
      <c r="H8" s="33"/>
      <c r="I8" s="33"/>
      <c r="J8" s="33">
        <f>$C$28*('E Balans VL '!D13+'E Balans VL '!E13)/100/3.6*1000000</f>
        <v>0</v>
      </c>
      <c r="K8" s="33"/>
      <c r="L8" s="33"/>
      <c r="M8" s="33"/>
      <c r="N8" s="33">
        <f>$C$28*'E Balans VL '!Y13/100/3.6*1000000</f>
        <v>0.58358366757056057</v>
      </c>
      <c r="O8" s="33"/>
      <c r="P8" s="33"/>
      <c r="R8" s="32"/>
    </row>
    <row r="9" spans="1:18">
      <c r="A9" s="32" t="s">
        <v>50</v>
      </c>
      <c r="B9" s="37">
        <f t="shared" si="0"/>
        <v>1448.27615085671</v>
      </c>
      <c r="C9" s="33"/>
      <c r="D9" s="37">
        <f>IF(ISERROR(TER_gezond_gas_kWh/1000),0,TER_gezond_gas_kWh/1000)*0.903</f>
        <v>2737.3881401038384</v>
      </c>
      <c r="E9" s="33">
        <f>$C$29*'E Balans VL '!I10/100/3.6*1000000</f>
        <v>0</v>
      </c>
      <c r="F9" s="33">
        <f>$C$29*('E Balans VL '!L10+'E Balans VL '!N10)/100/3.6*1000000</f>
        <v>177.53206147497968</v>
      </c>
      <c r="G9" s="34"/>
      <c r="H9" s="33"/>
      <c r="I9" s="33"/>
      <c r="J9" s="33">
        <f>$C$29*('E Balans VL '!D10+'E Balans VL '!E10)/100/3.6*1000000</f>
        <v>0</v>
      </c>
      <c r="K9" s="33"/>
      <c r="L9" s="33"/>
      <c r="M9" s="33"/>
      <c r="N9" s="33">
        <f>$C$29*'E Balans VL '!Y10/100/3.6*1000000</f>
        <v>10.680027374329622</v>
      </c>
      <c r="O9" s="33"/>
      <c r="P9" s="33"/>
      <c r="R9" s="32"/>
    </row>
    <row r="10" spans="1:18">
      <c r="A10" s="32" t="s">
        <v>49</v>
      </c>
      <c r="B10" s="37">
        <f t="shared" si="0"/>
        <v>709.45437925418196</v>
      </c>
      <c r="C10" s="33"/>
      <c r="D10" s="37">
        <f>IF(ISERROR(TER_ander_gas_kWh/1000),0,TER_ander_gas_kWh/1000)*0.903</f>
        <v>1877.700872177204</v>
      </c>
      <c r="E10" s="33">
        <f>$C$30*'E Balans VL '!I14/100/3.6*1000000</f>
        <v>10.160952677639788</v>
      </c>
      <c r="F10" s="33">
        <f>$C$30*('E Balans VL '!L14+'E Balans VL '!N14)/100/3.6*1000000</f>
        <v>422.36231460445288</v>
      </c>
      <c r="G10" s="34"/>
      <c r="H10" s="33"/>
      <c r="I10" s="33"/>
      <c r="J10" s="33">
        <f>$C$30*('E Balans VL '!D14+'E Balans VL '!E14)/100/3.6*1000000</f>
        <v>7.0064438237151961E-3</v>
      </c>
      <c r="K10" s="33"/>
      <c r="L10" s="33"/>
      <c r="M10" s="33"/>
      <c r="N10" s="33">
        <f>$C$30*'E Balans VL '!Y14/100/3.6*1000000</f>
        <v>253.20919527497213</v>
      </c>
      <c r="O10" s="33"/>
      <c r="P10" s="33"/>
      <c r="R10" s="32"/>
    </row>
    <row r="11" spans="1:18">
      <c r="A11" s="32" t="s">
        <v>54</v>
      </c>
      <c r="B11" s="37">
        <f t="shared" si="0"/>
        <v>180.6561973053</v>
      </c>
      <c r="C11" s="33"/>
      <c r="D11" s="37">
        <f>IF(ISERROR(TER_onderwijs_gas_kWh/1000),0,TER_onderwijs_gas_kWh/1000)*0.903</f>
        <v>1283.5672698289097</v>
      </c>
      <c r="E11" s="33">
        <f>$C$31*'E Balans VL '!I11/100/3.6*1000000</f>
        <v>0</v>
      </c>
      <c r="F11" s="33">
        <f>$C$31*('E Balans VL '!L11+'E Balans VL '!N11)/100/3.6*1000000</f>
        <v>21.120860793559856</v>
      </c>
      <c r="G11" s="34"/>
      <c r="H11" s="33"/>
      <c r="I11" s="33"/>
      <c r="J11" s="33">
        <f>$C$31*('E Balans VL '!D11+'E Balans VL '!E11)/100/3.6*1000000</f>
        <v>0</v>
      </c>
      <c r="K11" s="33"/>
      <c r="L11" s="33"/>
      <c r="M11" s="33"/>
      <c r="N11" s="33">
        <f>$C$31*'E Balans VL '!Y11/100/3.6*1000000</f>
        <v>0.50870710664067731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5574.9099404034514</v>
      </c>
      <c r="C16" s="21">
        <f t="shared" ca="1" si="1"/>
        <v>0</v>
      </c>
      <c r="D16" s="21">
        <f t="shared" ca="1" si="1"/>
        <v>9689.1885941386572</v>
      </c>
      <c r="E16" s="21">
        <f t="shared" si="1"/>
        <v>16.079397167508009</v>
      </c>
      <c r="F16" s="21">
        <f t="shared" ca="1" si="1"/>
        <v>915.38062567344582</v>
      </c>
      <c r="G16" s="21">
        <f t="shared" si="1"/>
        <v>0</v>
      </c>
      <c r="H16" s="21">
        <f t="shared" si="1"/>
        <v>0</v>
      </c>
      <c r="I16" s="21">
        <f t="shared" si="1"/>
        <v>0</v>
      </c>
      <c r="J16" s="21">
        <f t="shared" si="1"/>
        <v>7.0064438237151961E-3</v>
      </c>
      <c r="K16" s="21">
        <f t="shared" si="1"/>
        <v>0</v>
      </c>
      <c r="L16" s="21">
        <f t="shared" ca="1" si="1"/>
        <v>0</v>
      </c>
      <c r="M16" s="21">
        <f t="shared" si="1"/>
        <v>0</v>
      </c>
      <c r="N16" s="21">
        <f t="shared" ca="1" si="1"/>
        <v>265.69423164911808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0.19880539763579366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1108.322187485647</v>
      </c>
      <c r="C20" s="23">
        <f t="shared" ref="C20:P20" ca="1" si="2">C16*C18</f>
        <v>0</v>
      </c>
      <c r="D20" s="23">
        <f t="shared" ca="1" si="2"/>
        <v>1957.2160960160088</v>
      </c>
      <c r="E20" s="23">
        <f t="shared" si="2"/>
        <v>3.6500231570243185</v>
      </c>
      <c r="F20" s="23">
        <f t="shared" ca="1" si="2"/>
        <v>244.40662705481006</v>
      </c>
      <c r="G20" s="23">
        <f t="shared" si="2"/>
        <v>0</v>
      </c>
      <c r="H20" s="23">
        <f t="shared" si="2"/>
        <v>0</v>
      </c>
      <c r="I20" s="23">
        <f t="shared" si="2"/>
        <v>0</v>
      </c>
      <c r="J20" s="23">
        <f t="shared" si="2"/>
        <v>2.4802811135951792E-3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1065.2800041934102</v>
      </c>
      <c r="C26" s="39">
        <f>IF(ISERROR(B26*3.6/1000000/'E Balans VL '!Z12*100),0,B26*3.6/1000000/'E Balans VL '!Z12*100)</f>
        <v>3.0043717122533221E-2</v>
      </c>
      <c r="D26" s="233" t="s">
        <v>691</v>
      </c>
      <c r="F26" s="6"/>
    </row>
    <row r="27" spans="1:18">
      <c r="A27" s="228" t="s">
        <v>52</v>
      </c>
      <c r="B27" s="33">
        <f>IF(ISERROR(TER_horeca_ele_kWh/1000),0,TER_horeca_ele_kWh/1000)</f>
        <v>559.83227172125896</v>
      </c>
      <c r="C27" s="39">
        <f>IF(ISERROR(B27*3.6/1000000/'E Balans VL '!Z9*100),0,B27*3.6/1000000/'E Balans VL '!Z9*100)</f>
        <v>4.1504685589370142E-2</v>
      </c>
      <c r="D27" s="233" t="s">
        <v>691</v>
      </c>
      <c r="F27" s="6"/>
    </row>
    <row r="28" spans="1:18">
      <c r="A28" s="168" t="s">
        <v>51</v>
      </c>
      <c r="B28" s="33">
        <f>IF(ISERROR(TER_handel_ele_kWh/1000),0,TER_handel_ele_kWh/1000)</f>
        <v>1611.4109370725901</v>
      </c>
      <c r="C28" s="39">
        <f>IF(ISERROR(B28*3.6/1000000/'E Balans VL '!Z13*100),0,B28*3.6/1000000/'E Balans VL '!Z13*100)</f>
        <v>4.8274040402148284E-2</v>
      </c>
      <c r="D28" s="233" t="s">
        <v>691</v>
      </c>
      <c r="F28" s="6"/>
    </row>
    <row r="29" spans="1:18">
      <c r="A29" s="228" t="s">
        <v>50</v>
      </c>
      <c r="B29" s="33">
        <f>IF(ISERROR(TER_gezond_ele_kWh/1000),0,TER_gezond_ele_kWh/1000)</f>
        <v>1448.27615085671</v>
      </c>
      <c r="C29" s="39">
        <f>IF(ISERROR(B29*3.6/1000000/'E Balans VL '!Z10*100),0,B29*3.6/1000000/'E Balans VL '!Z10*100)</f>
        <v>0.14320611344581433</v>
      </c>
      <c r="D29" s="233" t="s">
        <v>691</v>
      </c>
      <c r="F29" s="6"/>
    </row>
    <row r="30" spans="1:18">
      <c r="A30" s="228" t="s">
        <v>49</v>
      </c>
      <c r="B30" s="33">
        <f>IF(ISERROR(TER_ander_ele_kWh/1000),0,TER_ander_ele_kWh/1000)</f>
        <v>709.45437925418196</v>
      </c>
      <c r="C30" s="39">
        <f>IF(ISERROR(B30*3.6/1000000/'E Balans VL '!Z14*100),0,B30*3.6/1000000/'E Balans VL '!Z14*100)</f>
        <v>2.8695333066410356E-2</v>
      </c>
      <c r="D30" s="233" t="s">
        <v>691</v>
      </c>
      <c r="F30" s="6"/>
    </row>
    <row r="31" spans="1:18">
      <c r="A31" s="228" t="s">
        <v>54</v>
      </c>
      <c r="B31" s="33">
        <f>IF(ISERROR(TER_onderwijs_ele_kWh/1000),0,TER_onderwijs_ele_kWh/1000)</f>
        <v>180.6561973053</v>
      </c>
      <c r="C31" s="39">
        <f>IF(ISERROR(B31*3.6/1000000/'E Balans VL '!Z11*100),0,B31*3.6/1000000/'E Balans VL '!Z11*100)</f>
        <v>4.9634158332803158E-2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4980.2673162103029</v>
      </c>
      <c r="C5" s="17">
        <f>IF(ISERROR('Eigen informatie GS &amp; warmtenet'!B61),0,'Eigen informatie GS &amp; warmtenet'!B61)</f>
        <v>0</v>
      </c>
      <c r="D5" s="30">
        <f>SUM(D6:D15)</f>
        <v>1092.7948410532342</v>
      </c>
      <c r="E5" s="17">
        <f>SUM(E6:E15)</f>
        <v>14.663907721651547</v>
      </c>
      <c r="F5" s="17">
        <f>SUM(F6:F15)</f>
        <v>460.55226593216361</v>
      </c>
      <c r="G5" s="18"/>
      <c r="H5" s="17"/>
      <c r="I5" s="17"/>
      <c r="J5" s="17">
        <f>SUM(J6:J15)</f>
        <v>0.57234988373788431</v>
      </c>
      <c r="K5" s="17"/>
      <c r="L5" s="17"/>
      <c r="M5" s="17"/>
      <c r="N5" s="17">
        <f>SUM(N6:N15)</f>
        <v>157.95444705618715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122.03574483742</v>
      </c>
      <c r="C8" s="33"/>
      <c r="D8" s="37">
        <f>IF( ISERROR(IND_metaal_Gas_kWH/1000),0,IND_metaal_Gas_kWH/1000)*0.903</f>
        <v>102.72798410809683</v>
      </c>
      <c r="E8" s="33">
        <f>C30*'E Balans VL '!I18/100/3.6*1000000</f>
        <v>0.61532551818475545</v>
      </c>
      <c r="F8" s="33">
        <f>C30*'E Balans VL '!L18/100/3.6*1000000+C30*'E Balans VL '!N18/100/3.6*1000000</f>
        <v>8.337731461360681</v>
      </c>
      <c r="G8" s="34"/>
      <c r="H8" s="33"/>
      <c r="I8" s="33"/>
      <c r="J8" s="40">
        <f>C30*'E Balans VL '!D18/100/3.6*1000000+C30*'E Balans VL '!E18/100/3.6*1000000</f>
        <v>0.10819509758151127</v>
      </c>
      <c r="K8" s="33"/>
      <c r="L8" s="33"/>
      <c r="M8" s="33"/>
      <c r="N8" s="33">
        <f>C30*'E Balans VL '!Y18/100/3.6*1000000</f>
        <v>1.6218557731137699</v>
      </c>
      <c r="O8" s="33"/>
      <c r="P8" s="33"/>
      <c r="R8" s="32"/>
    </row>
    <row r="9" spans="1:18">
      <c r="A9" s="6" t="s">
        <v>32</v>
      </c>
      <c r="B9" s="37">
        <f t="shared" si="0"/>
        <v>601.62937977748697</v>
      </c>
      <c r="C9" s="33"/>
      <c r="D9" s="37">
        <f>IF( ISERROR(IND_andere_gas_kWh/1000),0,IND_andere_gas_kWh/1000)*0.903</f>
        <v>824.62649155875033</v>
      </c>
      <c r="E9" s="33">
        <f>C31*'E Balans VL '!I19/100/3.6*1000000</f>
        <v>1.8964779961349545</v>
      </c>
      <c r="F9" s="33">
        <f>C31*'E Balans VL '!L19/100/3.6*1000000+C31*'E Balans VL '!N19/100/3.6*1000000</f>
        <v>368.29220254332034</v>
      </c>
      <c r="G9" s="34"/>
      <c r="H9" s="33"/>
      <c r="I9" s="33"/>
      <c r="J9" s="40">
        <f>C31*'E Balans VL '!D19/100/3.6*1000000+C31*'E Balans VL '!E19/100/3.6*1000000</f>
        <v>0</v>
      </c>
      <c r="K9" s="33"/>
      <c r="L9" s="33"/>
      <c r="M9" s="33"/>
      <c r="N9" s="33">
        <f>C31*'E Balans VL '!Y19/100/3.6*1000000</f>
        <v>25.227136798994003</v>
      </c>
      <c r="O9" s="33"/>
      <c r="P9" s="33"/>
      <c r="R9" s="32"/>
    </row>
    <row r="10" spans="1:18">
      <c r="A10" s="6" t="s">
        <v>40</v>
      </c>
      <c r="B10" s="37">
        <f t="shared" si="0"/>
        <v>4029.24912665279</v>
      </c>
      <c r="C10" s="33"/>
      <c r="D10" s="37">
        <f>IF( ISERROR(IND_voed_gas_kWh/1000),0,IND_voed_gas_kWh/1000)*0.903</f>
        <v>0</v>
      </c>
      <c r="E10" s="33">
        <f>C32*'E Balans VL '!I20/100/3.6*1000000</f>
        <v>6.4214915206431611</v>
      </c>
      <c r="F10" s="33">
        <f>C32*'E Balans VL '!L20/100/3.6*1000000+C32*'E Balans VL '!N20/100/3.6*1000000</f>
        <v>65.465510152451429</v>
      </c>
      <c r="G10" s="34"/>
      <c r="H10" s="33"/>
      <c r="I10" s="33"/>
      <c r="J10" s="40">
        <f>C32*'E Balans VL '!D20/100/3.6*1000000+C32*'E Balans VL '!E20/100/3.6*1000000</f>
        <v>0</v>
      </c>
      <c r="K10" s="33"/>
      <c r="L10" s="33"/>
      <c r="M10" s="33"/>
      <c r="N10" s="33">
        <f>C32*'E Balans VL '!Y20/100/3.6*1000000</f>
        <v>127.26381098839747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227.35306494260601</v>
      </c>
      <c r="C15" s="33"/>
      <c r="D15" s="37">
        <f>IF( ISERROR(IND_rest_gas_kWh/1000),0,IND_rest_gas_kWh/1000)*0.903</f>
        <v>165.44036538638699</v>
      </c>
      <c r="E15" s="33">
        <f>C37*'E Balans VL '!I15/100/3.6*1000000</f>
        <v>5.7306126866886773</v>
      </c>
      <c r="F15" s="33">
        <f>C37*'E Balans VL '!L15/100/3.6*1000000+C37*'E Balans VL '!N15/100/3.6*1000000</f>
        <v>18.456821775031127</v>
      </c>
      <c r="G15" s="34"/>
      <c r="H15" s="33"/>
      <c r="I15" s="33"/>
      <c r="J15" s="40">
        <f>C37*'E Balans VL '!D15/100/3.6*1000000+C37*'E Balans VL '!E15/100/3.6*1000000</f>
        <v>0.46415478615637301</v>
      </c>
      <c r="K15" s="33"/>
      <c r="L15" s="33"/>
      <c r="M15" s="33"/>
      <c r="N15" s="33">
        <f>C37*'E Balans VL '!Y15/100/3.6*1000000</f>
        <v>3.8416434956819203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4980.2673162103029</v>
      </c>
      <c r="C18" s="21">
        <f>C5+C16</f>
        <v>0</v>
      </c>
      <c r="D18" s="21">
        <f>MAX((D5+D16),0)</f>
        <v>1092.7948410532342</v>
      </c>
      <c r="E18" s="21">
        <f>MAX((E5+E16),0)</f>
        <v>14.663907721651547</v>
      </c>
      <c r="F18" s="21">
        <f>MAX((F5+F16),0)</f>
        <v>460.55226593216361</v>
      </c>
      <c r="G18" s="21"/>
      <c r="H18" s="21"/>
      <c r="I18" s="21"/>
      <c r="J18" s="21">
        <f>MAX((J5+J16),0)</f>
        <v>0.57234988373788431</v>
      </c>
      <c r="K18" s="21"/>
      <c r="L18" s="21">
        <f>MAX((L5+L16),0)</f>
        <v>0</v>
      </c>
      <c r="M18" s="21"/>
      <c r="N18" s="21">
        <f>MAX((N5+N16),0)</f>
        <v>157.95444705618715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0.19880539763579366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990.1040241317362</v>
      </c>
      <c r="C22" s="23">
        <f ca="1">C18*C20</f>
        <v>0</v>
      </c>
      <c r="D22" s="23">
        <f>D18*D20</f>
        <v>220.74455789275333</v>
      </c>
      <c r="E22" s="23">
        <f>E18*E20</f>
        <v>3.3287070528149014</v>
      </c>
      <c r="F22" s="23">
        <f>F18*F20</f>
        <v>122.96745500388769</v>
      </c>
      <c r="G22" s="23"/>
      <c r="H22" s="23"/>
      <c r="I22" s="23"/>
      <c r="J22" s="23">
        <f>J18*J20</f>
        <v>0.20261185884321103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122.03574483742</v>
      </c>
      <c r="C30" s="39">
        <f>IF(ISERROR(B30*3.6/1000000/'E Balans VL '!Z18*100),0,B30*3.6/1000000/'E Balans VL '!Z18*100)</f>
        <v>6.0575793358233192E-3</v>
      </c>
      <c r="D30" s="233" t="s">
        <v>691</v>
      </c>
    </row>
    <row r="31" spans="1:18">
      <c r="A31" s="6" t="s">
        <v>32</v>
      </c>
      <c r="B31" s="37">
        <f>IF( ISERROR(IND_ander_ele_kWh/1000),0,IND_ander_ele_kWh/1000)</f>
        <v>601.62937977748697</v>
      </c>
      <c r="C31" s="39">
        <f>IF(ISERROR(B31*3.6/1000000/'E Balans VL '!Z19*100),0,B31*3.6/1000000/'E Balans VL '!Z19*100)</f>
        <v>2.030190862779125E-2</v>
      </c>
      <c r="D31" s="233" t="s">
        <v>691</v>
      </c>
    </row>
    <row r="32" spans="1:18">
      <c r="A32" s="168" t="s">
        <v>40</v>
      </c>
      <c r="B32" s="37">
        <f>IF( ISERROR(IND_voed_ele_kWh/1000),0,IND_voed_ele_kWh/1000)</f>
        <v>4029.24912665279</v>
      </c>
      <c r="C32" s="39">
        <f>IF(ISERROR(B32*3.6/1000000/'E Balans VL '!Z20*100),0,B32*3.6/1000000/'E Balans VL '!Z20*100)</f>
        <v>9.4624147968783781E-2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227.35306494260601</v>
      </c>
      <c r="C37" s="39">
        <f>IF(ISERROR(B37*3.6/1000000/'E Balans VL '!Z15*100),0,B37*3.6/1000000/'E Balans VL '!Z15*100)</f>
        <v>8.5201225019332436E-4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366.854180459882</v>
      </c>
      <c r="C5" s="17">
        <f>'Eigen informatie GS &amp; warmtenet'!B62</f>
        <v>0</v>
      </c>
      <c r="D5" s="30">
        <f>IF(ISERROR(SUM(LB_lb_gas_kWh,LB_rest_gas_kWh)/1000),0,SUM(LB_lb_gas_kWh,LB_rest_gas_kWh)/1000)*0.903</f>
        <v>218.796492891154</v>
      </c>
      <c r="E5" s="17">
        <f>B17*'E Balans VL '!I25/3.6*1000000/100</f>
        <v>13.681114516239228</v>
      </c>
      <c r="F5" s="17">
        <f>B17*('E Balans VL '!L25/3.6*1000000+'E Balans VL '!N25/3.6*1000000)/100</f>
        <v>1190.2167194472174</v>
      </c>
      <c r="G5" s="18"/>
      <c r="H5" s="17"/>
      <c r="I5" s="17"/>
      <c r="J5" s="17">
        <f>('E Balans VL '!D25+'E Balans VL '!E25)/3.6*1000000*landbouw!B17/100</f>
        <v>96.301033495739517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366.854180459882</v>
      </c>
      <c r="C8" s="21">
        <f>C5+C6</f>
        <v>0</v>
      </c>
      <c r="D8" s="21">
        <f>MAX((D5+D6),0)</f>
        <v>218.796492891154</v>
      </c>
      <c r="E8" s="21">
        <f>MAX((E5+E6),0)</f>
        <v>13.681114516239228</v>
      </c>
      <c r="F8" s="21">
        <f>MAX((F5+F6),0)</f>
        <v>1190.2167194472174</v>
      </c>
      <c r="G8" s="21"/>
      <c r="H8" s="21"/>
      <c r="I8" s="21"/>
      <c r="J8" s="21">
        <f>MAX((J5+J6),0)</f>
        <v>96.301033495739517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0.19880539763579366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72.932591220680052</v>
      </c>
      <c r="C12" s="23">
        <f ca="1">C8*C10</f>
        <v>0</v>
      </c>
      <c r="D12" s="23">
        <f>D8*D10</f>
        <v>44.196891564013114</v>
      </c>
      <c r="E12" s="23">
        <f>E8*E10</f>
        <v>3.1056129951863047</v>
      </c>
      <c r="F12" s="23">
        <f>F8*F10</f>
        <v>317.78786409240706</v>
      </c>
      <c r="G12" s="23"/>
      <c r="H12" s="23"/>
      <c r="I12" s="23"/>
      <c r="J12" s="23">
        <f>J8*J10</f>
        <v>34.090565857491789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5.0386464373447612E-2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52.331995765264111</v>
      </c>
      <c r="C26" s="243">
        <f>B26*'GWP N2O_CH4'!B5</f>
        <v>1098.9719110705464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16.670610978899955</v>
      </c>
      <c r="C27" s="243">
        <f>B27*'GWP N2O_CH4'!B5</f>
        <v>350.08283055689907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0.87291494905953271</v>
      </c>
      <c r="C28" s="243">
        <f>B28*'GWP N2O_CH4'!B4</f>
        <v>270.60363420845516</v>
      </c>
      <c r="D28" s="50"/>
    </row>
    <row r="29" spans="1:4">
      <c r="A29" s="41" t="s">
        <v>272</v>
      </c>
      <c r="B29" s="243">
        <f>B34*'ha_N2O bodem landbouw'!B4</f>
        <v>6.2307888367953366</v>
      </c>
      <c r="C29" s="243">
        <f>B29*'GWP N2O_CH4'!B4</f>
        <v>1931.5445394065543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1.4200145698664152E-3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2.8313698124122859E-4</v>
      </c>
      <c r="C5" s="434" t="s">
        <v>210</v>
      </c>
      <c r="D5" s="419">
        <f>SUM(D6:D11)</f>
        <v>5.5748686511814471E-4</v>
      </c>
      <c r="E5" s="419">
        <f>SUM(E6:E11)</f>
        <v>3.0284987564536817E-4</v>
      </c>
      <c r="F5" s="432" t="s">
        <v>210</v>
      </c>
      <c r="G5" s="419">
        <f>SUM(G6:G11)</f>
        <v>0.13583202628591104</v>
      </c>
      <c r="H5" s="419">
        <f>SUM(H6:H11)</f>
        <v>3.3738814687840055E-2</v>
      </c>
      <c r="I5" s="434" t="s">
        <v>210</v>
      </c>
      <c r="J5" s="434" t="s">
        <v>210</v>
      </c>
      <c r="K5" s="434" t="s">
        <v>210</v>
      </c>
      <c r="L5" s="434" t="s">
        <v>210</v>
      </c>
      <c r="M5" s="419">
        <f>SUM(M6:M11)</f>
        <v>9.992935524634235E-3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1.4550518305799876E-4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2.5284225862763561E-4</v>
      </c>
      <c r="E6" s="885">
        <f>vkm_GW_PW*SUMIFS(TableVerdeelsleutelVkm[LPG],TableVerdeelsleutelVkm[Voertuigtype],"Lichte voertuigen")*SUMIFS(TableECFTransport[EnergieConsumptieFactor (PJ per km)],TableECFTransport[Index],CONCATENATE($A6,"_LPG_LPG"))</f>
        <v>1.405967894767961E-4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4.2250672024043583E-2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1.5404736265229761E-2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3.4496655865698072E-3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7.871376599007113E-7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3.257765817026604E-2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3.3141794784779041E-7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1.8341723800642965E-3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1.3654199776660502E-4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3.0464460649050904E-4</v>
      </c>
      <c r="E8" s="422">
        <f>vkm_NGW_PW*SUMIFS(TableVerdeelsleutelVkm[LPG],TableVerdeelsleutelVkm[Voertuigtype],"Lichte voertuigen")*SUMIFS(TableECFTransport[EnergieConsumptieFactor (PJ per km)],TableECFTransport[Index],CONCATENATE($A8,"_LPG_LPG"))</f>
        <v>1.6225308616857204E-4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4.4872541307442587E-2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1.8333593188928486E-2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3.8008893894912908E-3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3.0266275672408159E-7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1.613115478415883E-2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1.5381573396041253E-7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9.0820816850884151E-4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78.649161455896831</v>
      </c>
      <c r="C14" s="21"/>
      <c r="D14" s="21">
        <f t="shared" ref="D14:M14" si="0">((D5)*10^9/3600)+D12</f>
        <v>154.85746253281795</v>
      </c>
      <c r="E14" s="21">
        <f t="shared" si="0"/>
        <v>84.124965457046713</v>
      </c>
      <c r="F14" s="21"/>
      <c r="G14" s="21">
        <f t="shared" si="0"/>
        <v>37731.118412753072</v>
      </c>
      <c r="H14" s="21">
        <f t="shared" si="0"/>
        <v>9371.8929688444587</v>
      </c>
      <c r="I14" s="21"/>
      <c r="J14" s="21"/>
      <c r="K14" s="21"/>
      <c r="L14" s="21"/>
      <c r="M14" s="21">
        <f t="shared" si="0"/>
        <v>2775.8154235095094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0.19880539763579366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15.635877816961306</v>
      </c>
      <c r="C18" s="23"/>
      <c r="D18" s="23">
        <f t="shared" ref="D18:M18" si="1">D14*D16</f>
        <v>31.281207431629227</v>
      </c>
      <c r="E18" s="23">
        <f t="shared" si="1"/>
        <v>19.096367158749604</v>
      </c>
      <c r="F18" s="23"/>
      <c r="G18" s="23">
        <f t="shared" si="1"/>
        <v>10074.208616205071</v>
      </c>
      <c r="H18" s="23">
        <f t="shared" si="1"/>
        <v>2333.6013492422703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8.7418037103926291E-5</v>
      </c>
      <c r="C50" s="315">
        <f t="shared" ref="C50:P50" si="2">SUM(C51:C52)</f>
        <v>0</v>
      </c>
      <c r="D50" s="315">
        <f t="shared" si="2"/>
        <v>0</v>
      </c>
      <c r="E50" s="315">
        <f t="shared" si="2"/>
        <v>0</v>
      </c>
      <c r="F50" s="315">
        <f t="shared" si="2"/>
        <v>0</v>
      </c>
      <c r="G50" s="315">
        <f t="shared" si="2"/>
        <v>6.2397418945771051E-3</v>
      </c>
      <c r="H50" s="315">
        <f t="shared" si="2"/>
        <v>0</v>
      </c>
      <c r="I50" s="315">
        <f t="shared" si="2"/>
        <v>0</v>
      </c>
      <c r="J50" s="315">
        <f t="shared" si="2"/>
        <v>0</v>
      </c>
      <c r="K50" s="315">
        <f t="shared" si="2"/>
        <v>0</v>
      </c>
      <c r="L50" s="315">
        <f t="shared" si="2"/>
        <v>0</v>
      </c>
      <c r="M50" s="315">
        <f t="shared" si="2"/>
        <v>3.4454977339005202E-4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8.7418037103926291E-5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6.2397418945771051E-3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3.4454977339005202E-4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24.28278808442397</v>
      </c>
      <c r="C54" s="21">
        <f t="shared" ref="C54:P54" si="3">(C50)*10^9/3600</f>
        <v>0</v>
      </c>
      <c r="D54" s="21">
        <f t="shared" si="3"/>
        <v>0</v>
      </c>
      <c r="E54" s="21">
        <f t="shared" si="3"/>
        <v>0</v>
      </c>
      <c r="F54" s="21">
        <f t="shared" si="3"/>
        <v>0</v>
      </c>
      <c r="G54" s="21">
        <f t="shared" si="3"/>
        <v>1733.2616373825292</v>
      </c>
      <c r="H54" s="21">
        <f t="shared" si="3"/>
        <v>0</v>
      </c>
      <c r="I54" s="21">
        <f t="shared" si="3"/>
        <v>0</v>
      </c>
      <c r="J54" s="21">
        <f t="shared" si="3"/>
        <v>0</v>
      </c>
      <c r="K54" s="21">
        <f t="shared" si="3"/>
        <v>0</v>
      </c>
      <c r="L54" s="21">
        <f t="shared" si="3"/>
        <v>0</v>
      </c>
      <c r="M54" s="21">
        <f t="shared" si="3"/>
        <v>95.708270386125562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0.19880539763579366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4.82754934082962</v>
      </c>
      <c r="C58" s="23">
        <f t="shared" ref="C58:P58" ca="1" si="4">C54*C56</f>
        <v>0</v>
      </c>
      <c r="D58" s="23">
        <f t="shared" si="4"/>
        <v>0</v>
      </c>
      <c r="E58" s="23">
        <f t="shared" si="4"/>
        <v>0</v>
      </c>
      <c r="F58" s="23">
        <f t="shared" si="4"/>
        <v>0</v>
      </c>
      <c r="G58" s="23">
        <f t="shared" si="4"/>
        <v>462.78085718113533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3314.9029637857097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3314.9029637857097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2021-06-29T14:28:03Z</dcterms:modified>
</cp:coreProperties>
</file>