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D6" i="17"/>
  <c r="P5" i="13"/>
  <c r="P8" i="13" s="1"/>
  <c r="Q11" i="14" s="1"/>
  <c r="B37" i="13"/>
  <c r="D16" i="16"/>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P4" i="48" l="1"/>
  <c r="P12" i="13"/>
  <c r="Q41" i="14" s="1"/>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49"/>
  <c r="C10" i="13"/>
  <c r="C12" i="13" s="1"/>
  <c r="C22" i="59"/>
  <c r="C29" i="20"/>
  <c r="C56" i="22"/>
  <c r="C58" i="22" s="1"/>
  <c r="D49" i="14" s="1"/>
  <c r="D52" i="14" s="1"/>
  <c r="C18" i="15"/>
  <c r="C20" i="15" s="1"/>
  <c r="D40" i="14" s="1"/>
  <c r="C17" i="19"/>
  <c r="C19" i="19" s="1"/>
  <c r="D39" i="14" s="1"/>
  <c r="C10" i="17"/>
  <c r="C12" i="17" s="1"/>
  <c r="D54" i="14" s="1"/>
  <c r="D56" i="14" s="1"/>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<sst xmlns="http://schemas.openxmlformats.org/spreadsheetml/2006/main" count="2457" uniqueCount="890">
  <si>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</si>
  <si>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</si>
  <si>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</si>
  <si>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</si>
  <si>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</si>
  <si>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</si>
  <si>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</si>
  <si>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</si>
  <si>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</si>
  <si>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</si>
  <si>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</si>
  <si>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</si>
  <si>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</si>
  <si>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</si>
  <si>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</si>
  <si>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</si>
  <si>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</si>
  <si>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</si>
  <si>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</si>
  <si>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</si>
  <si>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</si>
  <si>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</si>
  <si>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</si>
  <si>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</si>
  <si>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</si>
  <si>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</si>
  <si>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</si>
  <si>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</si>
  <si>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</si>
  <si>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</si>
  <si>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</si>
  <si>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</si>
  <si>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</si>
  <si>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</si>
  <si>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</si>
  <si>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</si>
  <si>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</si>
  <si>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</si>
  <si>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</si>
  <si>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</si>
  <si>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</si>
  <si>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</si>
  <si>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</si>
  <si>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</si>
  <si>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</si>
  <si>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</si>
  <si>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</si>
  <si>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</si>
  <si>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</si>
  <si>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</si>
  <si>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</si>
  <si>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</si>
  <si>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</si>
  <si>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</si>
  <si>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</si>
  <si>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</si>
  <si>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</si>
  <si>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</si>
  <si>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</si>
  <si>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</si>
  <si>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</si>
  <si>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</si>
  <si>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</si>
  <si>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</si>
  <si>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</si>
  <si>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</si>
  <si>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</si>
  <si>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</si>
  <si>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</si>
  <si>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</si>
  <si>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</si>
  <si>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</si>
  <si>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</si>
  <si>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</si>
  <si>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</si>
  <si>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</si>
  <si>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</si>
  <si>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</si>
  <si>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</si>
  <si>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</si>
  <si>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</si>
  <si>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</si>
  <si>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</si>
  <si>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</si>
  <si>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</si>
  <si>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</si>
  <si>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</si>
  <si>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</si>
  <si>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</si>
  <si>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</si>
  <si>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</si>
  <si>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</si>
  <si>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</si>
  <si>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</si>
  <si>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</si>
  <si>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</si>
  <si>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</si>
  <si>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</si>
  <si>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</si>
  <si>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</si>
  <si>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</si>
  <si>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</si>
  <si>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</si>
  <si>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</si>
  <si>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</si>
  <si>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</si>
  <si>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</si>
  <si>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</si>
  <si>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</si>
  <si>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</si>
  <si>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</si>
  <si>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</si>
  <si>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</si>
  <si>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</si>
  <si>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</si>
  <si>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</si>
  <si>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</si>
  <si>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</si>
  <si>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</si>
  <si>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</si>
  <si>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</si>
  <si>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</si>
  <si>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</si>
  <si>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</si>
  <si>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</si>
  <si>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</si>
  <si>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</si>
  <si>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</si>
  <si>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</si>
  <si>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</si>
  <si>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</si>
  <si>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</si>
  <si>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</si>
  <si>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</si>
  <si>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</si>
  <si>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</si>
  <si>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</si>
  <si>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</si>
  <si>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</si>
  <si>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</si>
  <si>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</si>
  <si>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</si>
  <si>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</si>
  <si>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</si>
  <si>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</si>
  <si>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</si>
  <si>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</si>
  <si>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</si>
  <si>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</si>
  <si>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</si>
  <si>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</si>
  <si>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</si>
  <si>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</si>
  <si>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</si>
  <si>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</si>
  <si>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</si>
  <si>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</si>
  <si>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</si>
  <si>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</si>
  <si>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</si>
  <si>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</si>
  <si>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</si>
  <si>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</si>
  <si>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</si>
  <si>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</si>
  <si>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</si>
  <si>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</si>
  <si>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</si>
  <si>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</si>
  <si>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</si>
  <si>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</si>
  <si>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</si>
  <si>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</si>
  <si>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</si>
  <si>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</si>
  <si>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</si>
  <si>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</si>
  <si>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</si>
  <si>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</si>
  <si>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</si>
  <si>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</si>
  <si>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</si>
  <si>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</si>
  <si>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</si>
  <si>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</si>
  <si>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</si>
  <si>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</si>
  <si>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</si>
  <si>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</si>
  <si>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</si>
  <si>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</si>
  <si>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</si>
  <si>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</si>
  <si>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</si>
  <si>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</si>
  <si>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</si>
  <si>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</si>
  <si>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</si>
  <si>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</si>
  <si>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</si>
  <si>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</si>
  <si>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</si>
  <si>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</si>
  <si>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</si>
  <si>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</si>
  <si>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</si>
  <si>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</si>
  <si>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</si>
  <si>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</si>
  <si>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</si>
  <si>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</si>
  <si>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</si>
  <si>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</si>
  <si>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</si>
  <si>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</si>
  <si>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</si>
  <si>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</si>
  <si>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</si>
  <si>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</si>
  <si>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</si>
  <si>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</si>
  <si>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</si>
  <si>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</si>
  <si>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</si>
  <si>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</si>
  <si>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</si>
  <si>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</si>
  <si>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</si>
  <si>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</si>
  <si>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</si>
  <si>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</si>
  <si>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</si>
  <si>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</si>
  <si>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</si>
  <si>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</si>
  <si>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</si>
  <si>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</si>
  <si>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</si>
  <si>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</si>
  <si>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</si>
  <si>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</si>
  <si>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</si>
  <si>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</si>
  <si>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</si>
  <si>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</si>
  <si>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</si>
  <si>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</si>
  <si>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</si>
  <si>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</si>
  <si>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</si>
  <si>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</si>
  <si>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</si>
  <si>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</si>
  <si>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</si>
  <si>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</si>
  <si>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</si>
  <si>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</si>
  <si>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</si>
  <si>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</si>
  <si>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</si>
  <si>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</si>
  <si>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</si>
  <si>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</si>
  <si>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</si>
  <si>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</si>
  <si>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</si>
  <si>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</si>
  <si>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</si>
  <si>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</si>
  <si>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</si>
  <si>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</si>
  <si>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</si>
  <si>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</si>
  <si>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</si>
  <si>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</si>
  <si>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</si>
  <si>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</si>
  <si>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</si>
  <si>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</si>
  <si>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</si>
  <si>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</si>
  <si>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</si>
  <si>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</si>
  <si>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</si>
  <si>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</si>
  <si>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</si>
  <si>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</si>
  <si>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</si>
  <si>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</si>
  <si>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</si>
  <si>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</si>
  <si>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</si>
  <si>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</si>
  <si>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</si>
  <si>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</si>
  <si>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</si>
  <si>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</si>
  <si>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</si>
  <si>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</si>
  <si>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</si>
  <si>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</si>
  <si>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</si>
  <si>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</si>
  <si>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</si>
  <si>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</si>
  <si>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</si>
  <si>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</si>
  <si>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</si>
  <si>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</si>
  <si>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</si>
  <si>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</si>
  <si>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</si>
  <si>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</si>
  <si>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</si>
  <si>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</si>
  <si>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</si>
  <si>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</si>
  <si>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</si>
  <si>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</si>
  <si>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</si>
  <si>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</si>
  <si>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</si>
  <si>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</si>
  <si>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</si>
  <si>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</si>
  <si>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</si>
  <si>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</si>
  <si>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</si>
  <si>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</si>
  <si>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</si>
  <si>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</si>
  <si>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</si>
  <si>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</si>
  <si>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</si>
  <si>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</si>
  <si>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</si>
  <si>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</si>
  <si>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</si>
  <si>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</si>
  <si>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</si>
  <si>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</si>
  <si>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</si>
  <si>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</si>
  <si>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</si>
  <si>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</si>
  <si>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</si>
  <si>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</si>
  <si>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</si>
  <si>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</si>
  <si>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</si>
  <si>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</si>
  <si>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</si>
  <si>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</si>
  <si>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</si>
  <si>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</si>
  <si>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</si>
  <si>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</si>
  <si>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</si>
  <si>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</si>
  <si>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</si>
  <si>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</si>
  <si>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</si>
  <si>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</si>
  <si>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</si>
  <si>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</si>
  <si>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</si>
  <si>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</si>
  <si>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</si>
  <si>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</si>
  <si>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</si>
  <si>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</si>
  <si>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</si>
  <si>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</si>
  <si>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</si>
  <si>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</si>
  <si>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</si>
  <si>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</si>
  <si>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</si>
  <si>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</si>
  <si>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</si>
  <si>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</si>
  <si>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</si>
  <si>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</si>
  <si>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</si>
  <si>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</si>
  <si>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</si>
  <si>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</si>
  <si>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</si>
  <si>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</si>
  <si>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</si>
  <si>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</si>
  <si>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</si>
  <si>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</si>
  <si>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</si>
  <si>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</si>
  <si>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</si>
  <si>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</si>
  <si>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</si>
  <si>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</si>
  <si>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</si>
  <si>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</si>
  <si>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</si>
  <si>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</si>
  <si>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</si>
  <si>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</si>
  <si>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</si>
  <si>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</si>
  <si>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</si>
  <si>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</si>
  <si>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</si>
  <si>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</si>
  <si>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</si>
  <si>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</si>
  <si>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</si>
  <si>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</si>
  <si>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</si>
  <si>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</si>
  <si>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</si>
  <si>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</si>
  <si>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</si>
  <si>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</si>
  <si>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</si>
  <si>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</si>
  <si>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</si>
  <si>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</si>
  <si>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</si>
  <si>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</si>
  <si>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</si>
  <si>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</si>
  <si>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</si>
  <si>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</si>
  <si>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</si>
  <si>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</si>
  <si>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</si>
  <si>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</si>
  <si>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</si>
  <si>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</si>
  <si>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</si>
  <si>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</si>
  <si>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</si>
  <si>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</si>
  <si>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</si>
  <si>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</si>
  <si>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</si>
  <si>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</si>
  <si>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</si>
  <si>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</si>
  <si>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</si>
  <si>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</si>
  <si>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</si>
  <si>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</si>
  <si>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</si>
  <si>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</si>
  <si>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</si>
  <si>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</si>
  <si>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</si>
  <si>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</si>
  <si>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</si>
  <si>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</si>
  <si>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</si>
  <si>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</si>
  <si>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</si>
  <si>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</si>
  <si>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</si>
  <si>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</si>
  <si>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</si>
  <si>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</si>
  <si>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</si>
  <si>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</si>
  <si>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</si>
  <si>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</si>
  <si>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</si>
  <si>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</si>
  <si>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</si>
  <si>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</si>
  <si>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</si>
  <si>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</si>
  <si>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</si>
  <si>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</si>
  <si>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</si>
  <si>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</si>
  <si>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</si>
  <si>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</si>
  <si>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</si>
  <si>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</si>
  <si>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</si>
  <si>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</si>
  <si>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</si>
  <si>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</si>
  <si>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</si>
  <si>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</si>
  <si>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</si>
  <si>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</si>
  <si>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</si>
  <si>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</si>
  <si>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</si>
  <si>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</si>
  <si>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</si>
  <si>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</si>
  <si>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</si>
  <si>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</si>
  <si>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</si>
  <si>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</si>
  <si>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</si>
  <si>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</si>
  <si>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</si>
  <si>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</si>
  <si>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</si>
  <si>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</si>
  <si>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</si>
  <si>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</si>
  <si>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</si>
  <si>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</si>
  <si>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</si>
  <si>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</si>
  <si>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</si>
  <si>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</si>
  <si>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</si>
  <si>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</si>
  <si>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</si>
  <si>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</si>
  <si>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</si>
  <si>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</si>
  <si>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</si>
  <si>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</si>
  <si>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</si>
  <si>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</si>
  <si>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</si>
  <si>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</si>
  <si>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</si>
  <si>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</si>
  <si>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</si>
  <si>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</si>
  <si>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</si>
  <si>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</si>
  <si>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</si>
  <si>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</si>
  <si>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</si>
  <si>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</si>
  <si>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</si>
  <si>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</si>
  <si>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</si>
  <si>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</si>
  <si>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</si>
  <si>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</si>
  <si>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</si>
  <si>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</si>
  <si>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</si>
  <si>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</si>
  <si>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</si>
  <si>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</si>
  <si>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</si>
  <si>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</si>
  <si>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</si>
  <si>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</si>
  <si>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</si>
  <si>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</si>
  <si>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</si>
  <si>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</si>
  <si>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</si>
  <si>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</si>
  <si>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</si>
  <si>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</si>
  <si>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</si>
  <si>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</si>
  <si>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</si>
  <si>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</si>
  <si>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</si>
  <si>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</si>
  <si>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</si>
  <si>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</si>
  <si>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</si>
  <si>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</si>
  <si>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</si>
  <si>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</si>
  <si>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</si>
  <si>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</si>
  <si>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</si>
  <si>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</si>
  <si>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</si>
  <si>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</si>
  <si>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</si>
  <si>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</si>
  <si>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</si>
  <si>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</si>
  <si>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</si>
  <si>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</si>
  <si>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</si>
  <si>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</si>
  <si>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</si>
  <si>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</si>
  <si>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</si>
  <si>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</si>
  <si>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</si>
  <si>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</si>
  <si>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</si>
  <si>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</si>
  <si>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</si>
  <si>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</si>
  <si>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</si>
  <si>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</si>
  <si>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</si>
  <si>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</si>
  <si>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</si>
  <si>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</si>
  <si>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</si>
  <si>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</si>
  <si>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</si>
  <si>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</si>
  <si>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</si>
  <si>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</si>
  <si>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</si>
  <si>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</si>
  <si>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</si>
  <si>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</si>
  <si>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</si>
  <si>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</si>
  <si>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</si>
  <si>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</si>
  <si>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</si>
  <si>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</si>
  <si>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</si>
  <si>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</si>
  <si>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</si>
  <si>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</si>
  <si>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</si>
  <si>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</si>
  <si>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</si>
  <si>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</si>
  <si>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</si>
  <si>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</si>
  <si>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</si>
  <si>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</si>
  <si>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</si>
  <si>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</si>
  <si>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</si>
  <si>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</si>
  <si>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</si>
  <si>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</si>
  <si>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</si>
  <si>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</si>
  <si>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</si>
  <si>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</si>
  <si>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</si>
  <si>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</si>
  <si>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</si>
  <si>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</si>
  <si>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</si>
  <si>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</si>
  <si>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</si>
  <si>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</si>
  <si>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</si>
  <si>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</si>
  <si>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</si>
  <si>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</si>
  <si>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</si>
  <si>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</si>
  <si>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</si>
  <si>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</si>
  <si>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</si>
  <si>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</si>
  <si>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</si>
  <si>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</si>
  <si>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</si>
  <si>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</si>
  <si>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</si>
  <si>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</si>
  <si>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</si>
  <si>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</si>
  <si>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</si>
  <si>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</si>
  <si>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</si>
  <si>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</si>
  <si>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</si>
  <si>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</si>
  <si>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</si>
  <si>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</si>
  <si>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</si>
  <si>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</si>
  <si>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</si>
  <si>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</si>
  <si>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</si>
  <si>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</si>
  <si>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</si>
  <si>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</si>
  <si>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</si>
  <si>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</si>
  <si>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</si>
  <si>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</si>
  <si>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</si>
  <si>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</si>
  <si>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</si>
  <si>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</si>
  <si>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</si>
  <si>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</si>
  <si>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</si>
  <si>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</si>
  <si>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</si>
  <si>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</si>
  <si>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</si>
  <si>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</si>
  <si>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</si>
  <si>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</si>
  <si>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</si>
  <si>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</si>
  <si>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</si>
  <si>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</si>
  <si>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</si>
  <si>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</si>
  <si>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</si>
  <si>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</si>
  <si>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</si>
  <si>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</si>
  <si>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</si>
  <si>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</si>
  <si>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</si>
  <si>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</si>
  <si>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</si>
  <si>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</si>
  <si>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</si>
  <si>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</si>
  <si>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</si>
  <si>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</si>
  <si>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</si>
  <si>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</si>
  <si>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</si>
  <si>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</si>
  <si>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</si>
  <si>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</si>
  <si>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</si>
  <si>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</si>
  <si>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</si>
  <si>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</si>
  <si>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</si>
  <si>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</si>
  <si>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</si>
  <si>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</si>
  <si>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</si>
  <si>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</si>
  <si>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</si>
  <si>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</si>
  <si>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</si>
  <si>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</si>
  <si>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</si>
  <si>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</si>
  <si>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</si>
  <si>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</si>
  <si>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</si>
  <si>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</si>
  <si>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</si>
  <si>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</si>
  <si>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</si>
  <si>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</si>
  <si>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</si>
  <si>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</si>
  <si>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</si>
  <si>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</si>
  <si>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</si>
  <si>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</si>
  <si>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</si>
  <si>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</si>
  <si>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</si>
  <si>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</si>
  <si>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</si>
  <si>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</si>
  <si>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</si>
  <si>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</si>
  <si>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</si>
  <si>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</si>
  <si>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</si>
  <si>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</si>
  <si>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</si>
  <si>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</si>
  <si>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</si>
  <si>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</si>
  <si>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</si>
  <si>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</si>
  <si>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</si>
  <si>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</si>
  <si>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</si>
  <si>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</si>
  <si>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</si>
  <si>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</si>
  <si>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</si>
  <si>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</si>
  <si>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</si>
  <si>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</si>
  <si>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</si>
  <si>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</si>
  <si>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</si>
  <si>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</si>
  <si>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</si>
  <si>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</si>
  <si>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</si>
  <si>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</si>
  <si>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</si>
  <si>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</si>
  <si>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</si>
  <si>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</si>
  <si>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</si>
  <si>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</si>
  <si>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</si>
  <si>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</si>
  <si>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</si>
  <si>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</si>
  <si>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</si>
  <si>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</si>
  <si>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</si>
  <si>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</si>
  <si>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</si>
  <si>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</si>
  <si>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</si>
  <si>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</si>
  <si>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</si>
  <si>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</si>
  <si>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</si>
  <si>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</si>
  <si>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</si>
  <si>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</si>
  <si>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</si>
  <si>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</si>
  <si>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</si>
  <si>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</si>
  <si>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</si>
  <si>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</si>
  <si>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</si>
  <si>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</si>
  <si>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</si>
  <si>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</si>
  <si>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</si>
  <si>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</si>
  <si>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</si>
  <si>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</si>
  <si>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</si>
  <si>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</si>
  <si>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</si>
  <si>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</si>
  <si>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</si>
  <si>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</si>
  <si>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</si>
  <si>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</si>
  <si>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</si>
  <si>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</si>
  <si>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</si>
  <si>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</si>
  <si>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</si>
  <si>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</si>
  <si>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</si>
  <si>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</si>
  <si>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</si>
  <si>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</si>
  <si>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</si>
  <si>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</si>
  <si>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</si>
  <si>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</si>
  <si>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</si>
  <si>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</si>
  <si>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</si>
  <si>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</si>
  <si>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</si>
  <si>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</si>
  <si>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</si>
  <si>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</si>
  <si>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</si>
  <si>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</si>
  <si>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</si>
  <si>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</si>
  <si>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</si>
  <si>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</si>
  <si>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</si>
  <si>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</si>
  <si>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</si>
  <si>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</si>
  <si>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</si>
  <si>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</si>
  <si>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</si>
  <si>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</si>
  <si>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</si>
  <si>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</si>
  <si>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23094</t>
  </si>
  <si>
    <t>ZAVENTEM</t>
  </si>
  <si>
    <t>referentietaak LNE (2017); Jaarverslag De Lijn</t>
  </si>
  <si>
    <t>waterkracht</t>
  </si>
  <si>
    <t>d'Ieteren nv_St-Stevens-Woluwe</t>
  </si>
  <si>
    <t>Maliestraat 50 , 1050 Brussel</t>
  </si>
  <si>
    <t>WKK-0343 D'Ieteren Zaventem</t>
  </si>
  <si>
    <t>interne verbrandingsmotor</t>
  </si>
  <si>
    <t>WKK interne verbrandinsgmotor (gas)</t>
  </si>
  <si>
    <t>Leuvensesteenweg 326 , 1932 Sint-Stevens-Woluwe</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</si>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</sst>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273338.78340756876</c:v>
                </c:pt>
                <c:pt idx="1">
                  <c:v>307766.74371620198</c:v>
                </c:pt>
                <c:pt idx="2">
                  <c:v>2745.7469999999998</c:v>
                </c:pt>
                <c:pt idx="3">
                  <c:v>3041.1764334457062</c:v>
                </c:pt>
                <c:pt idx="4">
                  <c:v>80876.849582074574</c:v>
                </c:pt>
                <c:pt idx="5">
                  <c:v>545780.38248900988</c:v>
                </c:pt>
                <c:pt idx="6">
                  <c:v>9091.0059416431195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273338.78340756876</c:v>
                </c:pt>
                <c:pt idx="1">
                  <c:v>307766.74371620198</c:v>
                </c:pt>
                <c:pt idx="2">
                  <c:v>2745.7469999999998</c:v>
                </c:pt>
                <c:pt idx="3">
                  <c:v>3041.1764334457062</c:v>
                </c:pt>
                <c:pt idx="4">
                  <c:v>80876.849582074574</c:v>
                </c:pt>
                <c:pt idx="5">
                  <c:v>545780.38248900988</c:v>
                </c:pt>
                <c:pt idx="6">
                  <c:v>9091.0059416431195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55244.019335023841</c:v>
                </c:pt>
                <c:pt idx="1">
                  <c:v>65390.325537790653</c:v>
                </c:pt>
                <c:pt idx="2">
                  <c:v>591.58306638351053</c:v>
                </c:pt>
                <c:pt idx="3">
                  <c:v>766.57715673772748</c:v>
                </c:pt>
                <c:pt idx="4">
                  <c:v>17344.965217175926</c:v>
                </c:pt>
                <c:pt idx="5">
                  <c:v>135608.10033824062</c:v>
                </c:pt>
                <c:pt idx="6">
                  <c:v>2295.8046385350121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55244.019335023841</c:v>
                </c:pt>
                <c:pt idx="1">
                  <c:v>65390.325537790653</c:v>
                </c:pt>
                <c:pt idx="2">
                  <c:v>591.58306638351053</c:v>
                </c:pt>
                <c:pt idx="3">
                  <c:v>766.57715673772748</c:v>
                </c:pt>
                <c:pt idx="4">
                  <c:v>17344.965217175926</c:v>
                </c:pt>
                <c:pt idx="5">
                  <c:v>135608.10033824062</c:v>
                </c:pt>
                <c:pt idx="6">
                  <c:v>2295.8046385350121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23094</v>
      </c>
      <c r="B6" s="386"/>
      <c r="C6" s="387"/>
    </row>
    <row r="7" spans="1:7" s="384" customFormat="1" ht="15.75" customHeight="1">
      <c r="A7" s="388" t="str">
        <f>txtMunicipality</f>
        <v>ZAVENTEM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176525.04288966508</v>
      </c>
      <c r="D10" s="682">
        <f ca="1">tertiair!C16</f>
        <v>1144.2857142857142</v>
      </c>
      <c r="E10" s="682">
        <f ca="1">tertiair!D16</f>
        <v>113906.2701630575</v>
      </c>
      <c r="F10" s="682">
        <f>tertiair!E16</f>
        <v>195.51205448655932</v>
      </c>
      <c r="G10" s="682">
        <f ca="1">tertiair!F16</f>
        <v>17316.230201679213</v>
      </c>
      <c r="H10" s="682">
        <f>tertiair!G16</f>
        <v>0</v>
      </c>
      <c r="I10" s="682">
        <f>tertiair!H16</f>
        <v>0</v>
      </c>
      <c r="J10" s="682">
        <f>tertiair!I16</f>
        <v>0</v>
      </c>
      <c r="K10" s="682">
        <f>tertiair!J16</f>
        <v>2.0460558061767956E-2</v>
      </c>
      <c r="L10" s="682">
        <f>tertiair!K16</f>
        <v>0</v>
      </c>
      <c r="M10" s="682">
        <f ca="1">tertiair!L16</f>
        <v>0</v>
      </c>
      <c r="N10" s="682">
        <f>tertiair!M16</f>
        <v>0</v>
      </c>
      <c r="O10" s="682">
        <f ca="1">tertiair!N16</f>
        <v>842.30145033258736</v>
      </c>
      <c r="P10" s="682">
        <f>tertiair!O16</f>
        <v>4.8972607658411542</v>
      </c>
      <c r="Q10" s="683">
        <f>tertiair!P16</f>
        <v>577.93052137144514</v>
      </c>
      <c r="R10" s="685">
        <f ca="1">SUM(C10:Q10)</f>
        <v>310512.49071620195</v>
      </c>
      <c r="S10" s="67"/>
    </row>
    <row r="11" spans="1:19" s="445" customFormat="1">
      <c r="A11" s="803" t="s">
        <v>220</v>
      </c>
      <c r="B11" s="808"/>
      <c r="C11" s="682">
        <f>huishoudens!B8</f>
        <v>47492.531121895976</v>
      </c>
      <c r="D11" s="682">
        <f>huishoudens!C8</f>
        <v>0</v>
      </c>
      <c r="E11" s="682">
        <f>huishoudens!D8</f>
        <v>157759.43344792369</v>
      </c>
      <c r="F11" s="682">
        <f>huishoudens!E8</f>
        <v>2075.8828722710805</v>
      </c>
      <c r="G11" s="682">
        <f>huishoudens!F8</f>
        <v>47151.35571193217</v>
      </c>
      <c r="H11" s="682">
        <f>huishoudens!G8</f>
        <v>0</v>
      </c>
      <c r="I11" s="682">
        <f>huishoudens!H8</f>
        <v>0</v>
      </c>
      <c r="J11" s="682">
        <f>huishoudens!I8</f>
        <v>0</v>
      </c>
      <c r="K11" s="682">
        <f>huishoudens!J8</f>
        <v>235.890277279705</v>
      </c>
      <c r="L11" s="682">
        <f>huishoudens!K8</f>
        <v>0</v>
      </c>
      <c r="M11" s="682">
        <f>huishoudens!L8</f>
        <v>0</v>
      </c>
      <c r="N11" s="682">
        <f>huishoudens!M8</f>
        <v>0</v>
      </c>
      <c r="O11" s="682">
        <f>huishoudens!N8</f>
        <v>17861.798058159893</v>
      </c>
      <c r="P11" s="682">
        <f>huishoudens!O8</f>
        <v>182.52415618360692</v>
      </c>
      <c r="Q11" s="683">
        <f>huishoudens!P8</f>
        <v>579.36776192267632</v>
      </c>
      <c r="R11" s="685">
        <f>SUM(C11:Q11)</f>
        <v>273338.78340756876</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45631.273135504198</v>
      </c>
      <c r="D13" s="682">
        <f>industrie!C18</f>
        <v>0</v>
      </c>
      <c r="E13" s="682">
        <f>industrie!D18</f>
        <v>25262.472750940309</v>
      </c>
      <c r="F13" s="682">
        <f>industrie!E18</f>
        <v>273.0577467012435</v>
      </c>
      <c r="G13" s="682">
        <f>industrie!F18</f>
        <v>8758.9140616512232</v>
      </c>
      <c r="H13" s="682">
        <f>industrie!G18</f>
        <v>0</v>
      </c>
      <c r="I13" s="682">
        <f>industrie!H18</f>
        <v>0</v>
      </c>
      <c r="J13" s="682">
        <f>industrie!I18</f>
        <v>0</v>
      </c>
      <c r="K13" s="682">
        <f>industrie!J18</f>
        <v>27.899458347824332</v>
      </c>
      <c r="L13" s="682">
        <f>industrie!K18</f>
        <v>0</v>
      </c>
      <c r="M13" s="682">
        <f>industrie!L18</f>
        <v>0</v>
      </c>
      <c r="N13" s="682">
        <f>industrie!M18</f>
        <v>0</v>
      </c>
      <c r="O13" s="682">
        <f>industrie!N18</f>
        <v>923.23242892978487</v>
      </c>
      <c r="P13" s="682">
        <f>industrie!O18</f>
        <v>0</v>
      </c>
      <c r="Q13" s="683">
        <f>industrie!P18</f>
        <v>0</v>
      </c>
      <c r="R13" s="685">
        <f>SUM(C13:Q13)</f>
        <v>80876.849582074574</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269648.84714706527</v>
      </c>
      <c r="D16" s="718">
        <f t="shared" ref="D16:R16" ca="1" si="0">SUM(D9:D15)</f>
        <v>1144.2857142857142</v>
      </c>
      <c r="E16" s="718">
        <f t="shared" ca="1" si="0"/>
        <v>296928.17636192148</v>
      </c>
      <c r="F16" s="718">
        <f t="shared" si="0"/>
        <v>2544.4526734588835</v>
      </c>
      <c r="G16" s="718">
        <f t="shared" ca="1" si="0"/>
        <v>73226.499975262617</v>
      </c>
      <c r="H16" s="718">
        <f t="shared" si="0"/>
        <v>0</v>
      </c>
      <c r="I16" s="718">
        <f t="shared" si="0"/>
        <v>0</v>
      </c>
      <c r="J16" s="718">
        <f t="shared" si="0"/>
        <v>0</v>
      </c>
      <c r="K16" s="718">
        <f t="shared" si="0"/>
        <v>263.81019618559111</v>
      </c>
      <c r="L16" s="718">
        <f t="shared" si="0"/>
        <v>0</v>
      </c>
      <c r="M16" s="718">
        <f t="shared" ca="1" si="0"/>
        <v>0</v>
      </c>
      <c r="N16" s="718">
        <f t="shared" si="0"/>
        <v>0</v>
      </c>
      <c r="O16" s="718">
        <f t="shared" ca="1" si="0"/>
        <v>19627.331937422263</v>
      </c>
      <c r="P16" s="718">
        <f t="shared" si="0"/>
        <v>187.42141694944809</v>
      </c>
      <c r="Q16" s="718">
        <f t="shared" si="0"/>
        <v>1157.2982832941216</v>
      </c>
      <c r="R16" s="718">
        <f t="shared" ca="1" si="0"/>
        <v>664728.12370584521</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119.11757703044503</v>
      </c>
      <c r="D19" s="682">
        <f>transport!C54</f>
        <v>0</v>
      </c>
      <c r="E19" s="682">
        <f>transport!D54</f>
        <v>0</v>
      </c>
      <c r="F19" s="682">
        <f>transport!E54</f>
        <v>0</v>
      </c>
      <c r="G19" s="682">
        <f>transport!F54</f>
        <v>0</v>
      </c>
      <c r="H19" s="682">
        <f>transport!G54</f>
        <v>8502.3979078111843</v>
      </c>
      <c r="I19" s="682">
        <f>transport!H54</f>
        <v>0</v>
      </c>
      <c r="J19" s="682">
        <f>transport!I54</f>
        <v>0</v>
      </c>
      <c r="K19" s="682">
        <f>transport!J54</f>
        <v>0</v>
      </c>
      <c r="L19" s="682">
        <f>transport!K54</f>
        <v>0</v>
      </c>
      <c r="M19" s="682">
        <f>transport!L54</f>
        <v>0</v>
      </c>
      <c r="N19" s="682">
        <f>transport!M54</f>
        <v>469.49045680148947</v>
      </c>
      <c r="O19" s="682">
        <f>transport!N54</f>
        <v>0</v>
      </c>
      <c r="P19" s="682">
        <f>transport!O54</f>
        <v>0</v>
      </c>
      <c r="Q19" s="683">
        <f>transport!P54</f>
        <v>0</v>
      </c>
      <c r="R19" s="685">
        <f>SUM(C19:Q19)</f>
        <v>9091.0059416431195</v>
      </c>
      <c r="S19" s="67"/>
    </row>
    <row r="20" spans="1:19" s="445" customFormat="1">
      <c r="A20" s="803" t="s">
        <v>302</v>
      </c>
      <c r="B20" s="808"/>
      <c r="C20" s="682">
        <f>transport!B14</f>
        <v>1077.6792103145428</v>
      </c>
      <c r="D20" s="682">
        <f>transport!C14</f>
        <v>0</v>
      </c>
      <c r="E20" s="682">
        <f>transport!D14</f>
        <v>1636.3674583102784</v>
      </c>
      <c r="F20" s="682">
        <f>transport!E14</f>
        <v>1047.5990700924533</v>
      </c>
      <c r="G20" s="682">
        <f>transport!F14</f>
        <v>0</v>
      </c>
      <c r="H20" s="682">
        <f>transport!G14</f>
        <v>408850.16597055149</v>
      </c>
      <c r="I20" s="682">
        <f>transport!H14</f>
        <v>102990.21751741708</v>
      </c>
      <c r="J20" s="682">
        <f>transport!I14</f>
        <v>0</v>
      </c>
      <c r="K20" s="682">
        <f>transport!J14</f>
        <v>0</v>
      </c>
      <c r="L20" s="682">
        <f>transport!K14</f>
        <v>0</v>
      </c>
      <c r="M20" s="682">
        <f>transport!L14</f>
        <v>0</v>
      </c>
      <c r="N20" s="682">
        <f>transport!M14</f>
        <v>30178.353262324046</v>
      </c>
      <c r="O20" s="682">
        <f>transport!N14</f>
        <v>0</v>
      </c>
      <c r="P20" s="682">
        <f>transport!O14</f>
        <v>0</v>
      </c>
      <c r="Q20" s="683">
        <f>transport!P14</f>
        <v>0</v>
      </c>
      <c r="R20" s="685">
        <f>SUM(C20:Q20)</f>
        <v>545780.38248900988</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1196.7967873449879</v>
      </c>
      <c r="D22" s="806">
        <f t="shared" ref="D22:R22" si="1">SUM(D18:D21)</f>
        <v>0</v>
      </c>
      <c r="E22" s="806">
        <f t="shared" si="1"/>
        <v>1636.3674583102784</v>
      </c>
      <c r="F22" s="806">
        <f t="shared" si="1"/>
        <v>1047.5990700924533</v>
      </c>
      <c r="G22" s="806">
        <f t="shared" si="1"/>
        <v>0</v>
      </c>
      <c r="H22" s="806">
        <f t="shared" si="1"/>
        <v>417352.56387836265</v>
      </c>
      <c r="I22" s="806">
        <f t="shared" si="1"/>
        <v>102990.21751741708</v>
      </c>
      <c r="J22" s="806">
        <f t="shared" si="1"/>
        <v>0</v>
      </c>
      <c r="K22" s="806">
        <f t="shared" si="1"/>
        <v>0</v>
      </c>
      <c r="L22" s="806">
        <f t="shared" si="1"/>
        <v>0</v>
      </c>
      <c r="M22" s="806">
        <f t="shared" si="1"/>
        <v>0</v>
      </c>
      <c r="N22" s="806">
        <f t="shared" si="1"/>
        <v>30647.843719125536</v>
      </c>
      <c r="O22" s="806">
        <f t="shared" si="1"/>
        <v>0</v>
      </c>
      <c r="P22" s="806">
        <f t="shared" si="1"/>
        <v>0</v>
      </c>
      <c r="Q22" s="806">
        <f t="shared" si="1"/>
        <v>0</v>
      </c>
      <c r="R22" s="806">
        <f t="shared" si="1"/>
        <v>554871.38843065302</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574.19040953859997</v>
      </c>
      <c r="D24" s="682">
        <f>+landbouw!C8</f>
        <v>0</v>
      </c>
      <c r="E24" s="682">
        <f>+landbouw!D8</f>
        <v>431.94932553244695</v>
      </c>
      <c r="F24" s="682">
        <f>+landbouw!E8</f>
        <v>21.413316694868492</v>
      </c>
      <c r="G24" s="682">
        <f>+landbouw!F8</f>
        <v>1862.8955644511793</v>
      </c>
      <c r="H24" s="682">
        <f>+landbouw!G8</f>
        <v>0</v>
      </c>
      <c r="I24" s="682">
        <f>+landbouw!H8</f>
        <v>0</v>
      </c>
      <c r="J24" s="682">
        <f>+landbouw!I8</f>
        <v>0</v>
      </c>
      <c r="K24" s="682">
        <f>+landbouw!J8</f>
        <v>150.72781722861137</v>
      </c>
      <c r="L24" s="682">
        <f>+landbouw!K8</f>
        <v>0</v>
      </c>
      <c r="M24" s="682">
        <f>+landbouw!L8</f>
        <v>0</v>
      </c>
      <c r="N24" s="682">
        <f>+landbouw!M8</f>
        <v>0</v>
      </c>
      <c r="O24" s="682">
        <f>+landbouw!N8</f>
        <v>0</v>
      </c>
      <c r="P24" s="682">
        <f>+landbouw!O8</f>
        <v>0</v>
      </c>
      <c r="Q24" s="683">
        <f>+landbouw!P8</f>
        <v>0</v>
      </c>
      <c r="R24" s="685">
        <f>SUM(C24:Q24)</f>
        <v>3041.1764334457062</v>
      </c>
      <c r="S24" s="67"/>
    </row>
    <row r="25" spans="1:19" s="445" customFormat="1" ht="15" thickBot="1">
      <c r="A25" s="825" t="s">
        <v>703</v>
      </c>
      <c r="B25" s="938"/>
      <c r="C25" s="939">
        <f>IF(Onbekend_ele_kWh="---",0,Onbekend_ele_kWh)/1000+IF(REST_rest_ele_kWh="---",0,REST_rest_ele_kWh)/1000</f>
        <v>10549.492927737099</v>
      </c>
      <c r="D25" s="939"/>
      <c r="E25" s="939">
        <f>IF(onbekend_gas_kWh="---",0,onbekend_gas_kWh)/1000+IF(REST_rest_gas_kWh="---",0,REST_rest_gas_kWh)/1000</f>
        <v>14641.2368998194</v>
      </c>
      <c r="F25" s="939"/>
      <c r="G25" s="939"/>
      <c r="H25" s="939"/>
      <c r="I25" s="939"/>
      <c r="J25" s="939"/>
      <c r="K25" s="939"/>
      <c r="L25" s="939"/>
      <c r="M25" s="939"/>
      <c r="N25" s="939"/>
      <c r="O25" s="939"/>
      <c r="P25" s="939"/>
      <c r="Q25" s="940"/>
      <c r="R25" s="685">
        <f>SUM(C25:Q25)</f>
        <v>25190.729827556497</v>
      </c>
      <c r="S25" s="67"/>
    </row>
    <row r="26" spans="1:19" s="445" customFormat="1" ht="15.75" thickBot="1">
      <c r="A26" s="690" t="s">
        <v>704</v>
      </c>
      <c r="B26" s="811"/>
      <c r="C26" s="806">
        <f>SUM(C24:C25)</f>
        <v>11123.683337275699</v>
      </c>
      <c r="D26" s="806">
        <f t="shared" ref="D26:R26" si="2">SUM(D24:D25)</f>
        <v>0</v>
      </c>
      <c r="E26" s="806">
        <f t="shared" si="2"/>
        <v>15073.186225351847</v>
      </c>
      <c r="F26" s="806">
        <f t="shared" si="2"/>
        <v>21.413316694868492</v>
      </c>
      <c r="G26" s="806">
        <f t="shared" si="2"/>
        <v>1862.8955644511793</v>
      </c>
      <c r="H26" s="806">
        <f t="shared" si="2"/>
        <v>0</v>
      </c>
      <c r="I26" s="806">
        <f t="shared" si="2"/>
        <v>0</v>
      </c>
      <c r="J26" s="806">
        <f t="shared" si="2"/>
        <v>0</v>
      </c>
      <c r="K26" s="806">
        <f t="shared" si="2"/>
        <v>150.72781722861137</v>
      </c>
      <c r="L26" s="806">
        <f t="shared" si="2"/>
        <v>0</v>
      </c>
      <c r="M26" s="806">
        <f t="shared" si="2"/>
        <v>0</v>
      </c>
      <c r="N26" s="806">
        <f t="shared" si="2"/>
        <v>0</v>
      </c>
      <c r="O26" s="806">
        <f t="shared" si="2"/>
        <v>0</v>
      </c>
      <c r="P26" s="806">
        <f t="shared" si="2"/>
        <v>0</v>
      </c>
      <c r="Q26" s="806">
        <f t="shared" si="2"/>
        <v>0</v>
      </c>
      <c r="R26" s="806">
        <f t="shared" si="2"/>
        <v>28231.906261002205</v>
      </c>
      <c r="S26" s="67"/>
    </row>
    <row r="27" spans="1:19" s="445" customFormat="1" ht="17.25" thickTop="1" thickBot="1">
      <c r="A27" s="691" t="s">
        <v>115</v>
      </c>
      <c r="B27" s="798"/>
      <c r="C27" s="692">
        <f ca="1">C22+C16+C26</f>
        <v>281969.32727168594</v>
      </c>
      <c r="D27" s="692">
        <f t="shared" ref="D27:R27" ca="1" si="3">D22+D16+D26</f>
        <v>1144.2857142857142</v>
      </c>
      <c r="E27" s="692">
        <f t="shared" ca="1" si="3"/>
        <v>313637.73004558356</v>
      </c>
      <c r="F27" s="692">
        <f t="shared" si="3"/>
        <v>3613.4650602462052</v>
      </c>
      <c r="G27" s="692">
        <f t="shared" ca="1" si="3"/>
        <v>75089.395539713791</v>
      </c>
      <c r="H27" s="692">
        <f t="shared" si="3"/>
        <v>417352.56387836265</v>
      </c>
      <c r="I27" s="692">
        <f t="shared" si="3"/>
        <v>102990.21751741708</v>
      </c>
      <c r="J27" s="692">
        <f t="shared" si="3"/>
        <v>0</v>
      </c>
      <c r="K27" s="692">
        <f t="shared" si="3"/>
        <v>414.53801341420251</v>
      </c>
      <c r="L27" s="692">
        <f t="shared" si="3"/>
        <v>0</v>
      </c>
      <c r="M27" s="692">
        <f t="shared" ca="1" si="3"/>
        <v>0</v>
      </c>
      <c r="N27" s="692">
        <f t="shared" si="3"/>
        <v>30647.843719125536</v>
      </c>
      <c r="O27" s="692">
        <f t="shared" ca="1" si="3"/>
        <v>19627.331937422263</v>
      </c>
      <c r="P27" s="692">
        <f t="shared" si="3"/>
        <v>187.42141694944809</v>
      </c>
      <c r="Q27" s="692">
        <f t="shared" si="3"/>
        <v>1157.2982832941216</v>
      </c>
      <c r="R27" s="692">
        <f t="shared" ca="1" si="3"/>
        <v>1247831.4183975004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38033.08395352841</v>
      </c>
      <c r="D40" s="682">
        <f ca="1">tertiair!C20</f>
        <v>271.93613445378156</v>
      </c>
      <c r="E40" s="682">
        <f ca="1">tertiair!D20</f>
        <v>23009.066572937616</v>
      </c>
      <c r="F40" s="682">
        <f>tertiair!E20</f>
        <v>44.381236368448967</v>
      </c>
      <c r="G40" s="682">
        <f ca="1">tertiair!F20</f>
        <v>4623.4334638483497</v>
      </c>
      <c r="H40" s="682">
        <f>tertiair!G20</f>
        <v>0</v>
      </c>
      <c r="I40" s="682">
        <f>tertiair!H20</f>
        <v>0</v>
      </c>
      <c r="J40" s="682">
        <f>tertiair!I20</f>
        <v>0</v>
      </c>
      <c r="K40" s="682">
        <f>tertiair!J20</f>
        <v>7.2430375538658559E-3</v>
      </c>
      <c r="L40" s="682">
        <f>tertiair!K20</f>
        <v>0</v>
      </c>
      <c r="M40" s="682">
        <f ca="1">tertiair!L20</f>
        <v>0</v>
      </c>
      <c r="N40" s="682">
        <f>tertiair!M20</f>
        <v>0</v>
      </c>
      <c r="O40" s="682">
        <f ca="1">tertiair!N20</f>
        <v>0</v>
      </c>
      <c r="P40" s="682">
        <f>tertiair!O20</f>
        <v>0</v>
      </c>
      <c r="Q40" s="765">
        <f>tertiair!P20</f>
        <v>0</v>
      </c>
      <c r="R40" s="844">
        <f t="shared" ca="1" si="4"/>
        <v>65981.908604174168</v>
      </c>
    </row>
    <row r="41" spans="1:18">
      <c r="A41" s="816" t="s">
        <v>220</v>
      </c>
      <c r="B41" s="823"/>
      <c r="C41" s="682">
        <f ca="1">huishoudens!B12</f>
        <v>10232.471233294811</v>
      </c>
      <c r="D41" s="682">
        <f ca="1">huishoudens!C12</f>
        <v>0</v>
      </c>
      <c r="E41" s="682">
        <f>huishoudens!D12</f>
        <v>31867.405556480586</v>
      </c>
      <c r="F41" s="682">
        <f>huishoudens!E12</f>
        <v>471.2254120055353</v>
      </c>
      <c r="G41" s="682">
        <f>huishoudens!F12</f>
        <v>12589.41197508589</v>
      </c>
      <c r="H41" s="682">
        <f>huishoudens!G12</f>
        <v>0</v>
      </c>
      <c r="I41" s="682">
        <f>huishoudens!H12</f>
        <v>0</v>
      </c>
      <c r="J41" s="682">
        <f>huishoudens!I12</f>
        <v>0</v>
      </c>
      <c r="K41" s="682">
        <f>huishoudens!J12</f>
        <v>83.505158157015572</v>
      </c>
      <c r="L41" s="682">
        <f>huishoudens!K12</f>
        <v>0</v>
      </c>
      <c r="M41" s="682">
        <f>huishoudens!L12</f>
        <v>0</v>
      </c>
      <c r="N41" s="682">
        <f>huishoudens!M12</f>
        <v>0</v>
      </c>
      <c r="O41" s="682">
        <f>huishoudens!N12</f>
        <v>0</v>
      </c>
      <c r="P41" s="682">
        <f>huishoudens!O12</f>
        <v>0</v>
      </c>
      <c r="Q41" s="765">
        <f>huishoudens!P12</f>
        <v>0</v>
      </c>
      <c r="R41" s="844">
        <f t="shared" ca="1" si="4"/>
        <v>55244.019335023841</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9831.4551502687918</v>
      </c>
      <c r="D43" s="682">
        <f ca="1">industrie!C22</f>
        <v>0</v>
      </c>
      <c r="E43" s="682">
        <f>industrie!D22</f>
        <v>5103.0194956899431</v>
      </c>
      <c r="F43" s="682">
        <f>industrie!E22</f>
        <v>61.984108501182277</v>
      </c>
      <c r="G43" s="682">
        <f>industrie!F22</f>
        <v>2338.6300544608766</v>
      </c>
      <c r="H43" s="682">
        <f>industrie!G22</f>
        <v>0</v>
      </c>
      <c r="I43" s="682">
        <f>industrie!H22</f>
        <v>0</v>
      </c>
      <c r="J43" s="682">
        <f>industrie!I22</f>
        <v>0</v>
      </c>
      <c r="K43" s="682">
        <f>industrie!J22</f>
        <v>9.8764082551298138</v>
      </c>
      <c r="L43" s="682">
        <f>industrie!K22</f>
        <v>0</v>
      </c>
      <c r="M43" s="682">
        <f>industrie!L22</f>
        <v>0</v>
      </c>
      <c r="N43" s="682">
        <f>industrie!M22</f>
        <v>0</v>
      </c>
      <c r="O43" s="682">
        <f>industrie!N22</f>
        <v>0</v>
      </c>
      <c r="P43" s="682">
        <f>industrie!O22</f>
        <v>0</v>
      </c>
      <c r="Q43" s="765">
        <f>industrie!P22</f>
        <v>0</v>
      </c>
      <c r="R43" s="843">
        <f t="shared" ca="1" si="4"/>
        <v>17344.965217175926</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58097.010337092011</v>
      </c>
      <c r="D46" s="718">
        <f t="shared" ref="D46:Q46" ca="1" si="5">SUM(D39:D45)</f>
        <v>271.93613445378156</v>
      </c>
      <c r="E46" s="718">
        <f t="shared" ca="1" si="5"/>
        <v>59979.491625108145</v>
      </c>
      <c r="F46" s="718">
        <f t="shared" si="5"/>
        <v>577.59075687516656</v>
      </c>
      <c r="G46" s="718">
        <f t="shared" ca="1" si="5"/>
        <v>19551.475493395119</v>
      </c>
      <c r="H46" s="718">
        <f t="shared" si="5"/>
        <v>0</v>
      </c>
      <c r="I46" s="718">
        <f t="shared" si="5"/>
        <v>0</v>
      </c>
      <c r="J46" s="718">
        <f t="shared" si="5"/>
        <v>0</v>
      </c>
      <c r="K46" s="718">
        <f t="shared" si="5"/>
        <v>93.388809449699252</v>
      </c>
      <c r="L46" s="718">
        <f t="shared" si="5"/>
        <v>0</v>
      </c>
      <c r="M46" s="718">
        <f t="shared" ca="1" si="5"/>
        <v>0</v>
      </c>
      <c r="N46" s="718">
        <f t="shared" si="5"/>
        <v>0</v>
      </c>
      <c r="O46" s="718">
        <f t="shared" ca="1" si="5"/>
        <v>0</v>
      </c>
      <c r="P46" s="718">
        <f t="shared" si="5"/>
        <v>0</v>
      </c>
      <c r="Q46" s="718">
        <f t="shared" si="5"/>
        <v>0</v>
      </c>
      <c r="R46" s="718">
        <f ca="1">SUM(R39:R45)</f>
        <v>138570.89315637393</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25.664397149425895</v>
      </c>
      <c r="D49" s="682">
        <f ca="1">transport!C58</f>
        <v>0</v>
      </c>
      <c r="E49" s="682">
        <f>transport!D58</f>
        <v>0</v>
      </c>
      <c r="F49" s="682">
        <f>transport!E58</f>
        <v>0</v>
      </c>
      <c r="G49" s="682">
        <f>transport!F58</f>
        <v>0</v>
      </c>
      <c r="H49" s="682">
        <f>transport!G58</f>
        <v>2270.1402413855863</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2295.8046385350121</v>
      </c>
    </row>
    <row r="50" spans="1:18">
      <c r="A50" s="819" t="s">
        <v>302</v>
      </c>
      <c r="B50" s="829"/>
      <c r="C50" s="688">
        <f ca="1">transport!B18</f>
        <v>232.19064677686526</v>
      </c>
      <c r="D50" s="688">
        <f>transport!C18</f>
        <v>0</v>
      </c>
      <c r="E50" s="688">
        <f>transport!D18</f>
        <v>330.54622657867623</v>
      </c>
      <c r="F50" s="688">
        <f>transport!E18</f>
        <v>237.80498891098691</v>
      </c>
      <c r="G50" s="688">
        <f>transport!F18</f>
        <v>0</v>
      </c>
      <c r="H50" s="688">
        <f>transport!G18</f>
        <v>109162.99431413725</v>
      </c>
      <c r="I50" s="688">
        <f>transport!H18</f>
        <v>25644.564161836854</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135608.10033824062</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257.85504392629116</v>
      </c>
      <c r="D52" s="718">
        <f t="shared" ref="D52:Q52" ca="1" si="6">SUM(D48:D51)</f>
        <v>0</v>
      </c>
      <c r="E52" s="718">
        <f t="shared" si="6"/>
        <v>330.54622657867623</v>
      </c>
      <c r="F52" s="718">
        <f t="shared" si="6"/>
        <v>237.80498891098691</v>
      </c>
      <c r="G52" s="718">
        <f t="shared" si="6"/>
        <v>0</v>
      </c>
      <c r="H52" s="718">
        <f t="shared" si="6"/>
        <v>111433.13455552283</v>
      </c>
      <c r="I52" s="718">
        <f t="shared" si="6"/>
        <v>25644.564161836854</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137903.90497677564</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123.71180708304469</v>
      </c>
      <c r="D54" s="688">
        <f ca="1">+landbouw!C12</f>
        <v>0</v>
      </c>
      <c r="E54" s="688">
        <f>+landbouw!D12</f>
        <v>87.253763757554296</v>
      </c>
      <c r="F54" s="688">
        <f>+landbouw!E12</f>
        <v>4.8608228897351475</v>
      </c>
      <c r="G54" s="688">
        <f>+landbouw!F12</f>
        <v>497.3931157084649</v>
      </c>
      <c r="H54" s="688">
        <f>+landbouw!G12</f>
        <v>0</v>
      </c>
      <c r="I54" s="688">
        <f>+landbouw!H12</f>
        <v>0</v>
      </c>
      <c r="J54" s="688">
        <f>+landbouw!I12</f>
        <v>0</v>
      </c>
      <c r="K54" s="688">
        <f>+landbouw!J12</f>
        <v>53.35764729892842</v>
      </c>
      <c r="L54" s="688">
        <f>+landbouw!K12</f>
        <v>0</v>
      </c>
      <c r="M54" s="688">
        <f>+landbouw!L12</f>
        <v>0</v>
      </c>
      <c r="N54" s="688">
        <f>+landbouw!M12</f>
        <v>0</v>
      </c>
      <c r="O54" s="688">
        <f>+landbouw!N12</f>
        <v>0</v>
      </c>
      <c r="P54" s="688">
        <f>+landbouw!O12</f>
        <v>0</v>
      </c>
      <c r="Q54" s="689">
        <f>+landbouw!P12</f>
        <v>0</v>
      </c>
      <c r="R54" s="717">
        <f ca="1">SUM(C54:Q54)</f>
        <v>766.57715673772748</v>
      </c>
    </row>
    <row r="55" spans="1:18" ht="15" thickBot="1">
      <c r="A55" s="819" t="s">
        <v>703</v>
      </c>
      <c r="B55" s="829"/>
      <c r="C55" s="688">
        <f ca="1">C25*'EF ele_warmte'!B12</f>
        <v>2272.9338773681156</v>
      </c>
      <c r="D55" s="688"/>
      <c r="E55" s="688">
        <f>E25*EF_CO2_aardgas</f>
        <v>2957.529853763519</v>
      </c>
      <c r="F55" s="688"/>
      <c r="G55" s="688"/>
      <c r="H55" s="688"/>
      <c r="I55" s="688"/>
      <c r="J55" s="688"/>
      <c r="K55" s="688"/>
      <c r="L55" s="688"/>
      <c r="M55" s="688"/>
      <c r="N55" s="688"/>
      <c r="O55" s="688"/>
      <c r="P55" s="688"/>
      <c r="Q55" s="689"/>
      <c r="R55" s="717">
        <f ca="1">SUM(C55:Q55)</f>
        <v>5230.4637311316346</v>
      </c>
    </row>
    <row r="56" spans="1:18" ht="15.75" thickBot="1">
      <c r="A56" s="817" t="s">
        <v>704</v>
      </c>
      <c r="B56" s="830"/>
      <c r="C56" s="718">
        <f ca="1">SUM(C54:C55)</f>
        <v>2396.6456844511604</v>
      </c>
      <c r="D56" s="718">
        <f t="shared" ref="D56:Q56" ca="1" si="7">SUM(D54:D55)</f>
        <v>0</v>
      </c>
      <c r="E56" s="718">
        <f t="shared" si="7"/>
        <v>3044.7836175210732</v>
      </c>
      <c r="F56" s="718">
        <f t="shared" si="7"/>
        <v>4.8608228897351475</v>
      </c>
      <c r="G56" s="718">
        <f t="shared" si="7"/>
        <v>497.3931157084649</v>
      </c>
      <c r="H56" s="718">
        <f t="shared" si="7"/>
        <v>0</v>
      </c>
      <c r="I56" s="718">
        <f t="shared" si="7"/>
        <v>0</v>
      </c>
      <c r="J56" s="718">
        <f t="shared" si="7"/>
        <v>0</v>
      </c>
      <c r="K56" s="718">
        <f t="shared" si="7"/>
        <v>53.35764729892842</v>
      </c>
      <c r="L56" s="718">
        <f t="shared" si="7"/>
        <v>0</v>
      </c>
      <c r="M56" s="718">
        <f t="shared" si="7"/>
        <v>0</v>
      </c>
      <c r="N56" s="718">
        <f t="shared" si="7"/>
        <v>0</v>
      </c>
      <c r="O56" s="718">
        <f t="shared" si="7"/>
        <v>0</v>
      </c>
      <c r="P56" s="718">
        <f t="shared" si="7"/>
        <v>0</v>
      </c>
      <c r="Q56" s="719">
        <f t="shared" si="7"/>
        <v>0</v>
      </c>
      <c r="R56" s="720">
        <f ca="1">SUM(R54:R55)</f>
        <v>5997.0408878693625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60751.511065469465</v>
      </c>
      <c r="D61" s="726">
        <f t="shared" ref="D61:Q61" ca="1" si="8">D46+D52+D56</f>
        <v>271.93613445378156</v>
      </c>
      <c r="E61" s="726">
        <f t="shared" ca="1" si="8"/>
        <v>63354.821469207898</v>
      </c>
      <c r="F61" s="726">
        <f t="shared" si="8"/>
        <v>820.25656867588862</v>
      </c>
      <c r="G61" s="726">
        <f t="shared" ca="1" si="8"/>
        <v>20048.868609103585</v>
      </c>
      <c r="H61" s="726">
        <f t="shared" si="8"/>
        <v>111433.13455552283</v>
      </c>
      <c r="I61" s="726">
        <f t="shared" si="8"/>
        <v>25644.564161836854</v>
      </c>
      <c r="J61" s="726">
        <f t="shared" si="8"/>
        <v>0</v>
      </c>
      <c r="K61" s="726">
        <f t="shared" si="8"/>
        <v>146.74645674862768</v>
      </c>
      <c r="L61" s="726">
        <f t="shared" si="8"/>
        <v>0</v>
      </c>
      <c r="M61" s="726">
        <f t="shared" ca="1" si="8"/>
        <v>0</v>
      </c>
      <c r="N61" s="726">
        <f t="shared" si="8"/>
        <v>0</v>
      </c>
      <c r="O61" s="726">
        <f t="shared" ca="1" si="8"/>
        <v>0</v>
      </c>
      <c r="P61" s="726">
        <f t="shared" si="8"/>
        <v>0</v>
      </c>
      <c r="Q61" s="726">
        <f t="shared" si="8"/>
        <v>0</v>
      </c>
      <c r="R61" s="726">
        <f ca="1">R46+R52+R56</f>
        <v>282471.83902101894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0.21545432495547132</v>
      </c>
      <c r="D63" s="772">
        <f t="shared" ca="1" si="9"/>
        <v>0.23764705882352946</v>
      </c>
      <c r="E63" s="964">
        <f t="shared" ca="1" si="9"/>
        <v>0.20200000000000007</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7135.948215795318</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801</v>
      </c>
      <c r="D76" s="947">
        <f>'lokale energieproductie'!C8</f>
        <v>942.35294117647084</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190.35529411764713</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7135.948215795318</v>
      </c>
      <c r="C78" s="744">
        <f>SUM(C72:C77)</f>
        <v>801</v>
      </c>
      <c r="D78" s="745">
        <f t="shared" ref="D78:H78" si="10">SUM(D76:D77)</f>
        <v>942.35294117647084</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190.35529411764713</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1144.2857142857142</v>
      </c>
      <c r="D87" s="768">
        <f>'lokale energieproductie'!C17</f>
        <v>1346.2184873949582</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271.93613445378156</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1144.2857142857142</v>
      </c>
      <c r="D90" s="744">
        <f t="shared" ref="D90:H90" si="12">SUM(D87:D89)</f>
        <v>1346.2184873949582</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271.93613445378156</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47492.531121895976</v>
      </c>
      <c r="C4" s="449">
        <f>huishoudens!C8</f>
        <v>0</v>
      </c>
      <c r="D4" s="449">
        <f>huishoudens!D8</f>
        <v>157759.43344792369</v>
      </c>
      <c r="E4" s="449">
        <f>huishoudens!E8</f>
        <v>2075.8828722710805</v>
      </c>
      <c r="F4" s="449">
        <f>huishoudens!F8</f>
        <v>47151.35571193217</v>
      </c>
      <c r="G4" s="449">
        <f>huishoudens!G8</f>
        <v>0</v>
      </c>
      <c r="H4" s="449">
        <f>huishoudens!H8</f>
        <v>0</v>
      </c>
      <c r="I4" s="449">
        <f>huishoudens!I8</f>
        <v>0</v>
      </c>
      <c r="J4" s="449">
        <f>huishoudens!J8</f>
        <v>235.890277279705</v>
      </c>
      <c r="K4" s="449">
        <f>huishoudens!K8</f>
        <v>0</v>
      </c>
      <c r="L4" s="449">
        <f>huishoudens!L8</f>
        <v>0</v>
      </c>
      <c r="M4" s="449">
        <f>huishoudens!M8</f>
        <v>0</v>
      </c>
      <c r="N4" s="449">
        <f>huishoudens!N8</f>
        <v>17861.798058159893</v>
      </c>
      <c r="O4" s="449">
        <f>huishoudens!O8</f>
        <v>182.52415618360692</v>
      </c>
      <c r="P4" s="450">
        <f>huishoudens!P8</f>
        <v>579.36776192267632</v>
      </c>
      <c r="Q4" s="451">
        <f>SUM(B4:P4)</f>
        <v>273338.78340756876</v>
      </c>
    </row>
    <row r="5" spans="1:17">
      <c r="A5" s="448" t="s">
        <v>155</v>
      </c>
      <c r="B5" s="449">
        <f ca="1">tertiair!B16</f>
        <v>173779.29588966508</v>
      </c>
      <c r="C5" s="449">
        <f ca="1">tertiair!C16</f>
        <v>1144.2857142857142</v>
      </c>
      <c r="D5" s="449">
        <f ca="1">tertiair!D16</f>
        <v>113906.2701630575</v>
      </c>
      <c r="E5" s="449">
        <f>tertiair!E16</f>
        <v>195.51205448655932</v>
      </c>
      <c r="F5" s="449">
        <f ca="1">tertiair!F16</f>
        <v>17316.230201679213</v>
      </c>
      <c r="G5" s="449">
        <f>tertiair!G16</f>
        <v>0</v>
      </c>
      <c r="H5" s="449">
        <f>tertiair!H16</f>
        <v>0</v>
      </c>
      <c r="I5" s="449">
        <f>tertiair!I16</f>
        <v>0</v>
      </c>
      <c r="J5" s="449">
        <f>tertiair!J16</f>
        <v>2.0460558061767956E-2</v>
      </c>
      <c r="K5" s="449">
        <f>tertiair!K16</f>
        <v>0</v>
      </c>
      <c r="L5" s="449">
        <f ca="1">tertiair!L16</f>
        <v>0</v>
      </c>
      <c r="M5" s="449">
        <f>tertiair!M16</f>
        <v>0</v>
      </c>
      <c r="N5" s="449">
        <f ca="1">tertiair!N16</f>
        <v>842.30145033258736</v>
      </c>
      <c r="O5" s="449">
        <f>tertiair!O16</f>
        <v>4.8972607658411542</v>
      </c>
      <c r="P5" s="450">
        <f>tertiair!P16</f>
        <v>577.93052137144514</v>
      </c>
      <c r="Q5" s="448">
        <f t="shared" ref="Q5:Q14" ca="1" si="0">SUM(B5:P5)</f>
        <v>307766.74371620198</v>
      </c>
    </row>
    <row r="6" spans="1:17">
      <c r="A6" s="448" t="s">
        <v>193</v>
      </c>
      <c r="B6" s="449">
        <f>'openbare verlichting'!B8</f>
        <v>2745.7469999999998</v>
      </c>
      <c r="C6" s="449"/>
      <c r="D6" s="449"/>
      <c r="E6" s="449"/>
      <c r="F6" s="449"/>
      <c r="G6" s="449"/>
      <c r="H6" s="449"/>
      <c r="I6" s="449"/>
      <c r="J6" s="449"/>
      <c r="K6" s="449"/>
      <c r="L6" s="449"/>
      <c r="M6" s="449"/>
      <c r="N6" s="449"/>
      <c r="O6" s="449"/>
      <c r="P6" s="450"/>
      <c r="Q6" s="448">
        <f t="shared" si="0"/>
        <v>2745.7469999999998</v>
      </c>
    </row>
    <row r="7" spans="1:17">
      <c r="A7" s="448" t="s">
        <v>111</v>
      </c>
      <c r="B7" s="449">
        <f>landbouw!B8</f>
        <v>574.19040953859997</v>
      </c>
      <c r="C7" s="449">
        <f>landbouw!C8</f>
        <v>0</v>
      </c>
      <c r="D7" s="449">
        <f>landbouw!D8</f>
        <v>431.94932553244695</v>
      </c>
      <c r="E7" s="449">
        <f>landbouw!E8</f>
        <v>21.413316694868492</v>
      </c>
      <c r="F7" s="449">
        <f>landbouw!F8</f>
        <v>1862.8955644511793</v>
      </c>
      <c r="G7" s="449">
        <f>landbouw!G8</f>
        <v>0</v>
      </c>
      <c r="H7" s="449">
        <f>landbouw!H8</f>
        <v>0</v>
      </c>
      <c r="I7" s="449">
        <f>landbouw!I8</f>
        <v>0</v>
      </c>
      <c r="J7" s="449">
        <f>landbouw!J8</f>
        <v>150.72781722861137</v>
      </c>
      <c r="K7" s="449">
        <f>landbouw!K8</f>
        <v>0</v>
      </c>
      <c r="L7" s="449">
        <f>landbouw!L8</f>
        <v>0</v>
      </c>
      <c r="M7" s="449">
        <f>landbouw!M8</f>
        <v>0</v>
      </c>
      <c r="N7" s="449">
        <f>landbouw!N8</f>
        <v>0</v>
      </c>
      <c r="O7" s="449">
        <f>landbouw!O8</f>
        <v>0</v>
      </c>
      <c r="P7" s="450">
        <f>landbouw!P8</f>
        <v>0</v>
      </c>
      <c r="Q7" s="448">
        <f t="shared" si="0"/>
        <v>3041.1764334457062</v>
      </c>
    </row>
    <row r="8" spans="1:17">
      <c r="A8" s="448" t="s">
        <v>618</v>
      </c>
      <c r="B8" s="449">
        <f>industrie!B18</f>
        <v>45631.273135504198</v>
      </c>
      <c r="C8" s="449">
        <f>industrie!C18</f>
        <v>0</v>
      </c>
      <c r="D8" s="449">
        <f>industrie!D18</f>
        <v>25262.472750940309</v>
      </c>
      <c r="E8" s="449">
        <f>industrie!E18</f>
        <v>273.0577467012435</v>
      </c>
      <c r="F8" s="449">
        <f>industrie!F18</f>
        <v>8758.9140616512232</v>
      </c>
      <c r="G8" s="449">
        <f>industrie!G18</f>
        <v>0</v>
      </c>
      <c r="H8" s="449">
        <f>industrie!H18</f>
        <v>0</v>
      </c>
      <c r="I8" s="449">
        <f>industrie!I18</f>
        <v>0</v>
      </c>
      <c r="J8" s="449">
        <f>industrie!J18</f>
        <v>27.899458347824332</v>
      </c>
      <c r="K8" s="449">
        <f>industrie!K18</f>
        <v>0</v>
      </c>
      <c r="L8" s="449">
        <f>industrie!L18</f>
        <v>0</v>
      </c>
      <c r="M8" s="449">
        <f>industrie!M18</f>
        <v>0</v>
      </c>
      <c r="N8" s="449">
        <f>industrie!N18</f>
        <v>923.23242892978487</v>
      </c>
      <c r="O8" s="449">
        <f>industrie!O18</f>
        <v>0</v>
      </c>
      <c r="P8" s="450">
        <f>industrie!P18</f>
        <v>0</v>
      </c>
      <c r="Q8" s="448">
        <f t="shared" si="0"/>
        <v>80876.849582074574</v>
      </c>
    </row>
    <row r="9" spans="1:17" s="454" customFormat="1">
      <c r="A9" s="452" t="s">
        <v>544</v>
      </c>
      <c r="B9" s="453">
        <f>transport!B14</f>
        <v>1077.6792103145428</v>
      </c>
      <c r="C9" s="453">
        <f>transport!C14</f>
        <v>0</v>
      </c>
      <c r="D9" s="453">
        <f>transport!D14</f>
        <v>1636.3674583102784</v>
      </c>
      <c r="E9" s="453">
        <f>transport!E14</f>
        <v>1047.5990700924533</v>
      </c>
      <c r="F9" s="453">
        <f>transport!F14</f>
        <v>0</v>
      </c>
      <c r="G9" s="453">
        <f>transport!G14</f>
        <v>408850.16597055149</v>
      </c>
      <c r="H9" s="453">
        <f>transport!H14</f>
        <v>102990.21751741708</v>
      </c>
      <c r="I9" s="453">
        <f>transport!I14</f>
        <v>0</v>
      </c>
      <c r="J9" s="453">
        <f>transport!J14</f>
        <v>0</v>
      </c>
      <c r="K9" s="453">
        <f>transport!K14</f>
        <v>0</v>
      </c>
      <c r="L9" s="453">
        <f>transport!L14</f>
        <v>0</v>
      </c>
      <c r="M9" s="453">
        <f>transport!M14</f>
        <v>30178.353262324046</v>
      </c>
      <c r="N9" s="453">
        <f>transport!N14</f>
        <v>0</v>
      </c>
      <c r="O9" s="453">
        <f>transport!O14</f>
        <v>0</v>
      </c>
      <c r="P9" s="453">
        <f>transport!P14</f>
        <v>0</v>
      </c>
      <c r="Q9" s="452">
        <f>SUM(B9:P9)</f>
        <v>545780.38248900988</v>
      </c>
    </row>
    <row r="10" spans="1:17">
      <c r="A10" s="448" t="s">
        <v>534</v>
      </c>
      <c r="B10" s="449">
        <f>transport!B54</f>
        <v>119.11757703044503</v>
      </c>
      <c r="C10" s="449">
        <f>transport!C54</f>
        <v>0</v>
      </c>
      <c r="D10" s="449">
        <f>transport!D54</f>
        <v>0</v>
      </c>
      <c r="E10" s="449">
        <f>transport!E54</f>
        <v>0</v>
      </c>
      <c r="F10" s="449">
        <f>transport!F54</f>
        <v>0</v>
      </c>
      <c r="G10" s="449">
        <f>transport!G54</f>
        <v>8502.3979078111843</v>
      </c>
      <c r="H10" s="449">
        <f>transport!H54</f>
        <v>0</v>
      </c>
      <c r="I10" s="449">
        <f>transport!I54</f>
        <v>0</v>
      </c>
      <c r="J10" s="449">
        <f>transport!J54</f>
        <v>0</v>
      </c>
      <c r="K10" s="449">
        <f>transport!K54</f>
        <v>0</v>
      </c>
      <c r="L10" s="449">
        <f>transport!L54</f>
        <v>0</v>
      </c>
      <c r="M10" s="449">
        <f>transport!M54</f>
        <v>469.49045680148947</v>
      </c>
      <c r="N10" s="449">
        <f>transport!N54</f>
        <v>0</v>
      </c>
      <c r="O10" s="449">
        <f>transport!O54</f>
        <v>0</v>
      </c>
      <c r="P10" s="450">
        <f>transport!P54</f>
        <v>0</v>
      </c>
      <c r="Q10" s="448">
        <f t="shared" si="0"/>
        <v>9091.0059416431195</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10549.492927737099</v>
      </c>
      <c r="C14" s="456"/>
      <c r="D14" s="456">
        <f>'SEAP template'!E25</f>
        <v>14641.2368998194</v>
      </c>
      <c r="E14" s="456"/>
      <c r="F14" s="456"/>
      <c r="G14" s="456"/>
      <c r="H14" s="456"/>
      <c r="I14" s="456"/>
      <c r="J14" s="456"/>
      <c r="K14" s="456"/>
      <c r="L14" s="456"/>
      <c r="M14" s="456"/>
      <c r="N14" s="456"/>
      <c r="O14" s="456"/>
      <c r="P14" s="457"/>
      <c r="Q14" s="448">
        <f t="shared" si="0"/>
        <v>25190.729827556497</v>
      </c>
    </row>
    <row r="15" spans="1:17" s="460" customFormat="1">
      <c r="A15" s="458" t="s">
        <v>538</v>
      </c>
      <c r="B15" s="459">
        <f ca="1">SUM(B4:B14)</f>
        <v>281969.32727168594</v>
      </c>
      <c r="C15" s="459">
        <f t="shared" ref="C15:Q15" ca="1" si="1">SUM(C4:C14)</f>
        <v>1144.2857142857142</v>
      </c>
      <c r="D15" s="459">
        <f t="shared" ca="1" si="1"/>
        <v>313637.73004558356</v>
      </c>
      <c r="E15" s="459">
        <f t="shared" si="1"/>
        <v>3613.4650602462052</v>
      </c>
      <c r="F15" s="459">
        <f t="shared" ca="1" si="1"/>
        <v>75089.395539713791</v>
      </c>
      <c r="G15" s="459">
        <f t="shared" si="1"/>
        <v>417352.56387836265</v>
      </c>
      <c r="H15" s="459">
        <f t="shared" si="1"/>
        <v>102990.21751741708</v>
      </c>
      <c r="I15" s="459">
        <f t="shared" si="1"/>
        <v>0</v>
      </c>
      <c r="J15" s="459">
        <f t="shared" si="1"/>
        <v>414.53801341420245</v>
      </c>
      <c r="K15" s="459">
        <f t="shared" si="1"/>
        <v>0</v>
      </c>
      <c r="L15" s="459">
        <f t="shared" ca="1" si="1"/>
        <v>0</v>
      </c>
      <c r="M15" s="459">
        <f t="shared" si="1"/>
        <v>30647.843719125536</v>
      </c>
      <c r="N15" s="459">
        <f t="shared" ca="1" si="1"/>
        <v>19627.331937422263</v>
      </c>
      <c r="O15" s="459">
        <f t="shared" si="1"/>
        <v>187.42141694944809</v>
      </c>
      <c r="P15" s="459">
        <f t="shared" si="1"/>
        <v>1157.2982832941216</v>
      </c>
      <c r="Q15" s="459">
        <f t="shared" ca="1" si="1"/>
        <v>1247831.4183975004</v>
      </c>
    </row>
    <row r="17" spans="1:17">
      <c r="A17" s="461" t="s">
        <v>539</v>
      </c>
      <c r="B17" s="777">
        <f ca="1">huishoudens!B10</f>
        <v>0.21545432495547134</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10232.471233294811</v>
      </c>
      <c r="C22" s="449">
        <f t="shared" ref="C22:C32" ca="1" si="3">C4*$C$17</f>
        <v>0</v>
      </c>
      <c r="D22" s="449">
        <f t="shared" ref="D22:D32" si="4">D4*$D$17</f>
        <v>31867.405556480586</v>
      </c>
      <c r="E22" s="449">
        <f t="shared" ref="E22:E32" si="5">E4*$E$17</f>
        <v>471.2254120055353</v>
      </c>
      <c r="F22" s="449">
        <f t="shared" ref="F22:F32" si="6">F4*$F$17</f>
        <v>12589.41197508589</v>
      </c>
      <c r="G22" s="449">
        <f t="shared" ref="G22:G32" si="7">G4*$G$17</f>
        <v>0</v>
      </c>
      <c r="H22" s="449">
        <f t="shared" ref="H22:H32" si="8">H4*$H$17</f>
        <v>0</v>
      </c>
      <c r="I22" s="449">
        <f t="shared" ref="I22:I32" si="9">I4*$I$17</f>
        <v>0</v>
      </c>
      <c r="J22" s="449">
        <f t="shared" ref="J22:J32" si="10">J4*$J$17</f>
        <v>83.505158157015572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55244.019335023841</v>
      </c>
    </row>
    <row r="23" spans="1:17">
      <c r="A23" s="448" t="s">
        <v>155</v>
      </c>
      <c r="B23" s="449">
        <f t="shared" ca="1" si="2"/>
        <v>37441.500887144903</v>
      </c>
      <c r="C23" s="449">
        <f t="shared" ca="1" si="3"/>
        <v>271.93613445378156</v>
      </c>
      <c r="D23" s="449">
        <f t="shared" ca="1" si="4"/>
        <v>23009.066572937616</v>
      </c>
      <c r="E23" s="449">
        <f t="shared" si="5"/>
        <v>44.381236368448967</v>
      </c>
      <c r="F23" s="449">
        <f t="shared" ca="1" si="6"/>
        <v>4623.4334638483497</v>
      </c>
      <c r="G23" s="449">
        <f t="shared" si="7"/>
        <v>0</v>
      </c>
      <c r="H23" s="449">
        <f t="shared" si="8"/>
        <v>0</v>
      </c>
      <c r="I23" s="449">
        <f t="shared" si="9"/>
        <v>0</v>
      </c>
      <c r="J23" s="449">
        <f t="shared" si="10"/>
        <v>7.2430375538658559E-3</v>
      </c>
      <c r="K23" s="449">
        <f t="shared" si="11"/>
        <v>0</v>
      </c>
      <c r="L23" s="449">
        <f t="shared" ca="1" si="12"/>
        <v>0</v>
      </c>
      <c r="M23" s="449">
        <f t="shared" si="13"/>
        <v>0</v>
      </c>
      <c r="N23" s="449">
        <f t="shared" ca="1" si="14"/>
        <v>0</v>
      </c>
      <c r="O23" s="449">
        <f t="shared" si="15"/>
        <v>0</v>
      </c>
      <c r="P23" s="450">
        <f t="shared" si="16"/>
        <v>0</v>
      </c>
      <c r="Q23" s="448">
        <f t="shared" ref="Q23:Q31" ca="1" si="17">SUM(B23:P23)</f>
        <v>65390.325537790653</v>
      </c>
    </row>
    <row r="24" spans="1:17">
      <c r="A24" s="448" t="s">
        <v>193</v>
      </c>
      <c r="B24" s="449">
        <f t="shared" ca="1" si="2"/>
        <v>591.58306638351053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591.58306638351053</v>
      </c>
    </row>
    <row r="25" spans="1:17">
      <c r="A25" s="448" t="s">
        <v>111</v>
      </c>
      <c r="B25" s="449">
        <f t="shared" ca="1" si="2"/>
        <v>123.71180708304469</v>
      </c>
      <c r="C25" s="449">
        <f t="shared" ca="1" si="3"/>
        <v>0</v>
      </c>
      <c r="D25" s="449">
        <f t="shared" si="4"/>
        <v>87.253763757554296</v>
      </c>
      <c r="E25" s="449">
        <f t="shared" si="5"/>
        <v>4.8608228897351475</v>
      </c>
      <c r="F25" s="449">
        <f t="shared" si="6"/>
        <v>497.3931157084649</v>
      </c>
      <c r="G25" s="449">
        <f t="shared" si="7"/>
        <v>0</v>
      </c>
      <c r="H25" s="449">
        <f t="shared" si="8"/>
        <v>0</v>
      </c>
      <c r="I25" s="449">
        <f t="shared" si="9"/>
        <v>0</v>
      </c>
      <c r="J25" s="449">
        <f t="shared" si="10"/>
        <v>53.35764729892842</v>
      </c>
      <c r="K25" s="449">
        <f t="shared" si="11"/>
        <v>0</v>
      </c>
      <c r="L25" s="449">
        <f t="shared" si="12"/>
        <v>0</v>
      </c>
      <c r="M25" s="449">
        <f t="shared" si="13"/>
        <v>0</v>
      </c>
      <c r="N25" s="449">
        <f t="shared" si="14"/>
        <v>0</v>
      </c>
      <c r="O25" s="449">
        <f t="shared" si="15"/>
        <v>0</v>
      </c>
      <c r="P25" s="450">
        <f t="shared" si="16"/>
        <v>0</v>
      </c>
      <c r="Q25" s="448">
        <f t="shared" ca="1" si="17"/>
        <v>766.57715673772748</v>
      </c>
    </row>
    <row r="26" spans="1:17">
      <c r="A26" s="448" t="s">
        <v>618</v>
      </c>
      <c r="B26" s="449">
        <f t="shared" ca="1" si="2"/>
        <v>9831.4551502687918</v>
      </c>
      <c r="C26" s="449">
        <f t="shared" ca="1" si="3"/>
        <v>0</v>
      </c>
      <c r="D26" s="449">
        <f t="shared" si="4"/>
        <v>5103.0194956899431</v>
      </c>
      <c r="E26" s="449">
        <f t="shared" si="5"/>
        <v>61.984108501182277</v>
      </c>
      <c r="F26" s="449">
        <f t="shared" si="6"/>
        <v>2338.6300544608766</v>
      </c>
      <c r="G26" s="449">
        <f t="shared" si="7"/>
        <v>0</v>
      </c>
      <c r="H26" s="449">
        <f t="shared" si="8"/>
        <v>0</v>
      </c>
      <c r="I26" s="449">
        <f t="shared" si="9"/>
        <v>0</v>
      </c>
      <c r="J26" s="449">
        <f t="shared" si="10"/>
        <v>9.8764082551298138</v>
      </c>
      <c r="K26" s="449">
        <f t="shared" si="11"/>
        <v>0</v>
      </c>
      <c r="L26" s="449">
        <f t="shared" si="12"/>
        <v>0</v>
      </c>
      <c r="M26" s="449">
        <f t="shared" si="13"/>
        <v>0</v>
      </c>
      <c r="N26" s="449">
        <f t="shared" si="14"/>
        <v>0</v>
      </c>
      <c r="O26" s="449">
        <f t="shared" si="15"/>
        <v>0</v>
      </c>
      <c r="P26" s="450">
        <f t="shared" si="16"/>
        <v>0</v>
      </c>
      <c r="Q26" s="448">
        <f t="shared" ca="1" si="17"/>
        <v>17344.965217175926</v>
      </c>
    </row>
    <row r="27" spans="1:17" s="454" customFormat="1">
      <c r="A27" s="452" t="s">
        <v>544</v>
      </c>
      <c r="B27" s="771">
        <f t="shared" ca="1" si="2"/>
        <v>232.19064677686526</v>
      </c>
      <c r="C27" s="453">
        <f t="shared" ca="1" si="3"/>
        <v>0</v>
      </c>
      <c r="D27" s="453">
        <f t="shared" si="4"/>
        <v>330.54622657867623</v>
      </c>
      <c r="E27" s="453">
        <f t="shared" si="5"/>
        <v>237.80498891098691</v>
      </c>
      <c r="F27" s="453">
        <f t="shared" si="6"/>
        <v>0</v>
      </c>
      <c r="G27" s="453">
        <f t="shared" si="7"/>
        <v>109162.99431413725</v>
      </c>
      <c r="H27" s="453">
        <f t="shared" si="8"/>
        <v>25644.564161836854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135608.10033824062</v>
      </c>
    </row>
    <row r="28" spans="1:17" ht="16.5" customHeight="1">
      <c r="A28" s="448" t="s">
        <v>534</v>
      </c>
      <c r="B28" s="449">
        <f t="shared" ca="1" si="2"/>
        <v>25.664397149425895</v>
      </c>
      <c r="C28" s="449">
        <f t="shared" ca="1" si="3"/>
        <v>0</v>
      </c>
      <c r="D28" s="449">
        <f t="shared" si="4"/>
        <v>0</v>
      </c>
      <c r="E28" s="449">
        <f t="shared" si="5"/>
        <v>0</v>
      </c>
      <c r="F28" s="449">
        <f t="shared" si="6"/>
        <v>0</v>
      </c>
      <c r="G28" s="449">
        <f t="shared" si="7"/>
        <v>2270.1402413855863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2295.8046385350121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2272.9338773681156</v>
      </c>
      <c r="C32" s="449">
        <f t="shared" ca="1" si="3"/>
        <v>0</v>
      </c>
      <c r="D32" s="449">
        <f t="shared" si="4"/>
        <v>2957.529853763519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5230.4637311316346</v>
      </c>
    </row>
    <row r="33" spans="1:17" s="460" customFormat="1">
      <c r="A33" s="458" t="s">
        <v>538</v>
      </c>
      <c r="B33" s="459">
        <f ca="1">SUM(B22:B32)</f>
        <v>60751.511065469465</v>
      </c>
      <c r="C33" s="459">
        <f t="shared" ref="C33:Q33" ca="1" si="19">SUM(C22:C32)</f>
        <v>271.93613445378156</v>
      </c>
      <c r="D33" s="459">
        <f t="shared" ca="1" si="19"/>
        <v>63354.821469207891</v>
      </c>
      <c r="E33" s="459">
        <f t="shared" si="19"/>
        <v>820.25656867588862</v>
      </c>
      <c r="F33" s="459">
        <f t="shared" ca="1" si="19"/>
        <v>20048.868609103585</v>
      </c>
      <c r="G33" s="459">
        <f t="shared" si="19"/>
        <v>111433.13455552283</v>
      </c>
      <c r="H33" s="459">
        <f t="shared" si="19"/>
        <v>25644.564161836854</v>
      </c>
      <c r="I33" s="459">
        <f t="shared" si="19"/>
        <v>0</v>
      </c>
      <c r="J33" s="459">
        <f t="shared" si="19"/>
        <v>146.74645674862765</v>
      </c>
      <c r="K33" s="459">
        <f t="shared" si="19"/>
        <v>0</v>
      </c>
      <c r="L33" s="459">
        <f t="shared" ca="1" si="19"/>
        <v>0</v>
      </c>
      <c r="M33" s="459">
        <f t="shared" si="19"/>
        <v>0</v>
      </c>
      <c r="N33" s="459">
        <f t="shared" ca="1" si="19"/>
        <v>0</v>
      </c>
      <c r="O33" s="459">
        <f t="shared" si="19"/>
        <v>0</v>
      </c>
      <c r="P33" s="459">
        <f t="shared" si="19"/>
        <v>0</v>
      </c>
      <c r="Q33" s="459">
        <f t="shared" ca="1" si="19"/>
        <v>282471.83902101894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7135.948215795318</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801</v>
      </c>
      <c r="D8" s="1015">
        <f>'SEAP template'!D76</f>
        <v>942.35294117647084</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190.35529411764713</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7135.948215795318</v>
      </c>
      <c r="C10" s="1017">
        <f>SUM(C4:C9)</f>
        <v>801</v>
      </c>
      <c r="D10" s="1017">
        <f t="shared" ref="D10:H10" si="0">SUM(D8:D9)</f>
        <v>942.35294117647084</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190.35529411764713</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0.21545432495547134</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1144.2857142857142</v>
      </c>
      <c r="D17" s="1016">
        <f>'SEAP template'!D87</f>
        <v>1346.2184873949582</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271.93613445378156</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1144.2857142857142</v>
      </c>
      <c r="D20" s="1017">
        <f t="shared" ref="D20:H20" si="2">SUM(D17:D19)</f>
        <v>1346.2184873949582</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271.93613445378156</v>
      </c>
    </row>
    <row r="21" spans="1:16">
      <c r="B21" s="882"/>
    </row>
    <row r="22" spans="1:16">
      <c r="A22" s="461" t="s">
        <v>762</v>
      </c>
      <c r="B22" s="777" t="s">
        <v>760</v>
      </c>
      <c r="C22" s="777">
        <f ca="1">'EF ele_warmte'!B22</f>
        <v>0.23764705882352946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0.21545432495547134</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0.21545432495547134</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0.21545432495547134</v>
      </c>
      <c r="C29" s="498">
        <f ca="1">'EF ele_warmte'!B22</f>
        <v>0.23764705882352946</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13804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730.36</v>
      </c>
      <c r="C14" s="326"/>
      <c r="D14" s="326"/>
      <c r="E14" s="326"/>
      <c r="F14" s="326"/>
    </row>
    <row r="15" spans="1:6">
      <c r="A15" s="1307" t="s">
        <v>183</v>
      </c>
      <c r="B15" s="1308">
        <v>0</v>
      </c>
      <c r="C15" s="326"/>
      <c r="D15" s="326"/>
      <c r="E15" s="326"/>
      <c r="F15" s="326"/>
    </row>
    <row r="16" spans="1:6">
      <c r="A16" s="1307" t="s">
        <v>6</v>
      </c>
      <c r="B16" s="1308">
        <v>0</v>
      </c>
      <c r="C16" s="326"/>
      <c r="D16" s="326"/>
      <c r="E16" s="326"/>
      <c r="F16" s="326"/>
    </row>
    <row r="17" spans="1:6">
      <c r="A17" s="1307" t="s">
        <v>7</v>
      </c>
      <c r="B17" s="1308">
        <v>4</v>
      </c>
      <c r="C17" s="326"/>
      <c r="D17" s="326"/>
      <c r="E17" s="326"/>
      <c r="F17" s="326"/>
    </row>
    <row r="18" spans="1:6">
      <c r="A18" s="1307" t="s">
        <v>8</v>
      </c>
      <c r="B18" s="1308">
        <v>5</v>
      </c>
      <c r="C18" s="326"/>
      <c r="D18" s="326"/>
      <c r="E18" s="326"/>
      <c r="F18" s="326"/>
    </row>
    <row r="19" spans="1:6">
      <c r="A19" s="1307" t="s">
        <v>9</v>
      </c>
      <c r="B19" s="1308">
        <v>5</v>
      </c>
      <c r="C19" s="326"/>
      <c r="D19" s="326"/>
      <c r="E19" s="326"/>
      <c r="F19" s="326"/>
    </row>
    <row r="20" spans="1:6">
      <c r="A20" s="1307" t="s">
        <v>10</v>
      </c>
      <c r="B20" s="1308">
        <v>3</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0</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30</v>
      </c>
      <c r="C29" s="332"/>
      <c r="D29" s="332"/>
      <c r="E29" s="332"/>
      <c r="F29" s="332"/>
    </row>
    <row r="30" spans="1:6">
      <c r="A30" s="1302" t="s">
        <v>689</v>
      </c>
      <c r="B30" s="1311">
        <v>4</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6</v>
      </c>
      <c r="F36" s="1308">
        <v>16758.0407896539</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19013.416630210701</v>
      </c>
    </row>
    <row r="39" spans="1:6">
      <c r="A39" s="1307" t="s">
        <v>29</v>
      </c>
      <c r="B39" s="1307" t="s">
        <v>30</v>
      </c>
      <c r="C39" s="1308">
        <v>10954</v>
      </c>
      <c r="D39" s="1308">
        <v>174705906.36536399</v>
      </c>
      <c r="E39" s="1308">
        <v>13924</v>
      </c>
      <c r="F39" s="1308">
        <v>44708072.477874897</v>
      </c>
    </row>
    <row r="40" spans="1:6">
      <c r="A40" s="1307" t="s">
        <v>29</v>
      </c>
      <c r="B40" s="1307" t="s">
        <v>28</v>
      </c>
      <c r="C40" s="1308">
        <v>0</v>
      </c>
      <c r="D40" s="1308">
        <v>0</v>
      </c>
      <c r="E40" s="1308">
        <v>0</v>
      </c>
      <c r="F40" s="1308">
        <v>0</v>
      </c>
    </row>
    <row r="41" spans="1:6">
      <c r="A41" s="1307" t="s">
        <v>31</v>
      </c>
      <c r="B41" s="1307" t="s">
        <v>32</v>
      </c>
      <c r="C41" s="1308">
        <v>141</v>
      </c>
      <c r="D41" s="1308">
        <v>10631921.347342201</v>
      </c>
      <c r="E41" s="1308">
        <v>242</v>
      </c>
      <c r="F41" s="1308">
        <v>10744094.5680301</v>
      </c>
    </row>
    <row r="42" spans="1:6">
      <c r="A42" s="1307" t="s">
        <v>31</v>
      </c>
      <c r="B42" s="1307" t="s">
        <v>33</v>
      </c>
      <c r="C42" s="1308">
        <v>0</v>
      </c>
      <c r="D42" s="1308">
        <v>0</v>
      </c>
      <c r="E42" s="1308">
        <v>8</v>
      </c>
      <c r="F42" s="1308">
        <v>1338160.21348027</v>
      </c>
    </row>
    <row r="43" spans="1:6">
      <c r="A43" s="1307" t="s">
        <v>31</v>
      </c>
      <c r="B43" s="1307" t="s">
        <v>34</v>
      </c>
      <c r="C43" s="1308">
        <v>0</v>
      </c>
      <c r="D43" s="1308">
        <v>0</v>
      </c>
      <c r="E43" s="1308">
        <v>0</v>
      </c>
      <c r="F43" s="1308">
        <v>0</v>
      </c>
    </row>
    <row r="44" spans="1:6">
      <c r="A44" s="1307" t="s">
        <v>31</v>
      </c>
      <c r="B44" s="1307" t="s">
        <v>35</v>
      </c>
      <c r="C44" s="1308">
        <v>23</v>
      </c>
      <c r="D44" s="1308">
        <v>15377116.600251</v>
      </c>
      <c r="E44" s="1308">
        <v>51</v>
      </c>
      <c r="F44" s="1308">
        <v>31445198.8657079</v>
      </c>
    </row>
    <row r="45" spans="1:6">
      <c r="A45" s="1307" t="s">
        <v>31</v>
      </c>
      <c r="B45" s="1307" t="s">
        <v>36</v>
      </c>
      <c r="C45" s="1308">
        <v>0</v>
      </c>
      <c r="D45" s="1308">
        <v>0</v>
      </c>
      <c r="E45" s="1308">
        <v>3</v>
      </c>
      <c r="F45" s="1308">
        <v>80997.712720017793</v>
      </c>
    </row>
    <row r="46" spans="1:6">
      <c r="A46" s="1307" t="s">
        <v>31</v>
      </c>
      <c r="B46" s="1307" t="s">
        <v>37</v>
      </c>
      <c r="C46" s="1308">
        <v>0</v>
      </c>
      <c r="D46" s="1308">
        <v>0</v>
      </c>
      <c r="E46" s="1308">
        <v>0</v>
      </c>
      <c r="F46" s="1308">
        <v>0</v>
      </c>
    </row>
    <row r="47" spans="1:6">
      <c r="A47" s="1307" t="s">
        <v>31</v>
      </c>
      <c r="B47" s="1307" t="s">
        <v>38</v>
      </c>
      <c r="C47" s="1308">
        <v>14</v>
      </c>
      <c r="D47" s="1308">
        <v>582110.72600410599</v>
      </c>
      <c r="E47" s="1308">
        <v>19</v>
      </c>
      <c r="F47" s="1308">
        <v>747580.71425611002</v>
      </c>
    </row>
    <row r="48" spans="1:6">
      <c r="A48" s="1307" t="s">
        <v>31</v>
      </c>
      <c r="B48" s="1307" t="s">
        <v>28</v>
      </c>
      <c r="C48" s="1308">
        <v>5</v>
      </c>
      <c r="D48" s="1308">
        <v>543628.42468624003</v>
      </c>
      <c r="E48" s="1308">
        <v>1</v>
      </c>
      <c r="F48" s="1308">
        <v>3.8349460506000002</v>
      </c>
    </row>
    <row r="49" spans="1:6">
      <c r="A49" s="1307" t="s">
        <v>31</v>
      </c>
      <c r="B49" s="1307" t="s">
        <v>39</v>
      </c>
      <c r="C49" s="1308">
        <v>0</v>
      </c>
      <c r="D49" s="1308">
        <v>0</v>
      </c>
      <c r="E49" s="1308">
        <v>3</v>
      </c>
      <c r="F49" s="1308">
        <v>36542.800337938301</v>
      </c>
    </row>
    <row r="50" spans="1:6">
      <c r="A50" s="1307" t="s">
        <v>31</v>
      </c>
      <c r="B50" s="1307" t="s">
        <v>40</v>
      </c>
      <c r="C50" s="1308">
        <v>8</v>
      </c>
      <c r="D50" s="1308">
        <v>841383.20176109299</v>
      </c>
      <c r="E50" s="1308">
        <v>19</v>
      </c>
      <c r="F50" s="1308">
        <v>1238694.42602582</v>
      </c>
    </row>
    <row r="51" spans="1:6">
      <c r="A51" s="1307" t="s">
        <v>41</v>
      </c>
      <c r="B51" s="1307" t="s">
        <v>42</v>
      </c>
      <c r="C51" s="1308">
        <v>11</v>
      </c>
      <c r="D51" s="1308">
        <v>478349.19771035103</v>
      </c>
      <c r="E51" s="1308">
        <v>22</v>
      </c>
      <c r="F51" s="1308">
        <v>574190.40953860001</v>
      </c>
    </row>
    <row r="52" spans="1:6">
      <c r="A52" s="1307" t="s">
        <v>41</v>
      </c>
      <c r="B52" s="1307" t="s">
        <v>28</v>
      </c>
      <c r="C52" s="1308">
        <v>0</v>
      </c>
      <c r="D52" s="1308">
        <v>0</v>
      </c>
      <c r="E52" s="1308">
        <v>0</v>
      </c>
      <c r="F52" s="1308">
        <v>0</v>
      </c>
    </row>
    <row r="53" spans="1:6">
      <c r="A53" s="1307" t="s">
        <v>43</v>
      </c>
      <c r="B53" s="1307" t="s">
        <v>44</v>
      </c>
      <c r="C53" s="1308">
        <v>394</v>
      </c>
      <c r="D53" s="1308">
        <v>14641236.8998194</v>
      </c>
      <c r="E53" s="1308">
        <v>726</v>
      </c>
      <c r="F53" s="1308">
        <v>10549492.9277371</v>
      </c>
    </row>
    <row r="54" spans="1:6">
      <c r="A54" s="1307" t="s">
        <v>45</v>
      </c>
      <c r="B54" s="1307" t="s">
        <v>46</v>
      </c>
      <c r="C54" s="1308">
        <v>0</v>
      </c>
      <c r="D54" s="1308">
        <v>0</v>
      </c>
      <c r="E54" s="1308">
        <v>1</v>
      </c>
      <c r="F54" s="1308">
        <v>2745747</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75</v>
      </c>
      <c r="D57" s="1308">
        <v>2434094.1966939401</v>
      </c>
      <c r="E57" s="1308">
        <v>123</v>
      </c>
      <c r="F57" s="1308">
        <v>2071783.1876098099</v>
      </c>
    </row>
    <row r="58" spans="1:6">
      <c r="A58" s="1307" t="s">
        <v>48</v>
      </c>
      <c r="B58" s="1307" t="s">
        <v>50</v>
      </c>
      <c r="C58" s="1308">
        <v>56</v>
      </c>
      <c r="D58" s="1308">
        <v>4001791.32552082</v>
      </c>
      <c r="E58" s="1308">
        <v>75</v>
      </c>
      <c r="F58" s="1308">
        <v>3110009.0315390802</v>
      </c>
    </row>
    <row r="59" spans="1:6">
      <c r="A59" s="1307" t="s">
        <v>48</v>
      </c>
      <c r="B59" s="1307" t="s">
        <v>51</v>
      </c>
      <c r="C59" s="1308">
        <v>331</v>
      </c>
      <c r="D59" s="1308">
        <v>28929497.064728901</v>
      </c>
      <c r="E59" s="1308">
        <v>550</v>
      </c>
      <c r="F59" s="1308">
        <v>38990922.068623997</v>
      </c>
    </row>
    <row r="60" spans="1:6">
      <c r="A60" s="1307" t="s">
        <v>48</v>
      </c>
      <c r="B60" s="1307" t="s">
        <v>52</v>
      </c>
      <c r="C60" s="1308">
        <v>152</v>
      </c>
      <c r="D60" s="1308">
        <v>14467239.801042801</v>
      </c>
      <c r="E60" s="1308">
        <v>175</v>
      </c>
      <c r="F60" s="1308">
        <v>7719922.2588357404</v>
      </c>
    </row>
    <row r="61" spans="1:6">
      <c r="A61" s="1307" t="s">
        <v>48</v>
      </c>
      <c r="B61" s="1307" t="s">
        <v>53</v>
      </c>
      <c r="C61" s="1308">
        <v>669</v>
      </c>
      <c r="D61" s="1308">
        <v>76857605.1170104</v>
      </c>
      <c r="E61" s="1308">
        <v>1472</v>
      </c>
      <c r="F61" s="1308">
        <v>120244674.19074599</v>
      </c>
    </row>
    <row r="62" spans="1:6">
      <c r="A62" s="1307" t="s">
        <v>48</v>
      </c>
      <c r="B62" s="1307" t="s">
        <v>54</v>
      </c>
      <c r="C62" s="1308">
        <v>16</v>
      </c>
      <c r="D62" s="1308">
        <v>1986230.51452576</v>
      </c>
      <c r="E62" s="1308">
        <v>20</v>
      </c>
      <c r="F62" s="1308">
        <v>840985.15231047105</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4</v>
      </c>
      <c r="D65" s="1308">
        <v>1500029.1727721801</v>
      </c>
      <c r="E65" s="1308">
        <v>1</v>
      </c>
      <c r="F65" s="1308">
        <v>1574.8849568815001</v>
      </c>
    </row>
    <row r="66" spans="1:6">
      <c r="A66" s="1307" t="s">
        <v>55</v>
      </c>
      <c r="B66" s="1307" t="s">
        <v>57</v>
      </c>
      <c r="C66" s="1308">
        <v>0</v>
      </c>
      <c r="D66" s="1308">
        <v>0</v>
      </c>
      <c r="E66" s="1308">
        <v>27</v>
      </c>
      <c r="F66" s="1308">
        <v>647239.59770629497</v>
      </c>
    </row>
    <row r="67" spans="1:6">
      <c r="A67" s="1309" t="s">
        <v>55</v>
      </c>
      <c r="B67" s="1309" t="s">
        <v>58</v>
      </c>
      <c r="C67" s="1308">
        <v>0</v>
      </c>
      <c r="D67" s="1308">
        <v>0</v>
      </c>
      <c r="E67" s="1308">
        <v>0</v>
      </c>
      <c r="F67" s="1308">
        <v>0</v>
      </c>
    </row>
    <row r="68" spans="1:6">
      <c r="A68" s="1302" t="s">
        <v>55</v>
      </c>
      <c r="B68" s="1302" t="s">
        <v>59</v>
      </c>
      <c r="C68" s="1311">
        <v>21</v>
      </c>
      <c r="D68" s="1311">
        <v>647824.22896751296</v>
      </c>
      <c r="E68" s="1311">
        <v>42</v>
      </c>
      <c r="F68" s="1311">
        <v>647967.25494133704</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120112165</v>
      </c>
      <c r="E73" s="447"/>
      <c r="F73" s="326"/>
    </row>
    <row r="74" spans="1:6">
      <c r="A74" s="1307" t="s">
        <v>63</v>
      </c>
      <c r="B74" s="1307" t="s">
        <v>639</v>
      </c>
      <c r="C74" s="1321" t="s">
        <v>641</v>
      </c>
      <c r="D74" s="1322">
        <v>4841043.2657877095</v>
      </c>
      <c r="E74" s="447"/>
      <c r="F74" s="326"/>
    </row>
    <row r="75" spans="1:6">
      <c r="A75" s="1307" t="s">
        <v>64</v>
      </c>
      <c r="B75" s="1307" t="s">
        <v>638</v>
      </c>
      <c r="C75" s="1321" t="s">
        <v>642</v>
      </c>
      <c r="D75" s="1322">
        <v>42304975</v>
      </c>
      <c r="E75" s="447"/>
      <c r="F75" s="326"/>
    </row>
    <row r="76" spans="1:6">
      <c r="A76" s="1307" t="s">
        <v>64</v>
      </c>
      <c r="B76" s="1307" t="s">
        <v>639</v>
      </c>
      <c r="C76" s="1321" t="s">
        <v>643</v>
      </c>
      <c r="D76" s="1322">
        <v>226260.26578770997</v>
      </c>
      <c r="E76" s="447"/>
      <c r="F76" s="326"/>
    </row>
    <row r="77" spans="1:6">
      <c r="A77" s="1307" t="s">
        <v>65</v>
      </c>
      <c r="B77" s="1307" t="s">
        <v>638</v>
      </c>
      <c r="C77" s="1321" t="s">
        <v>644</v>
      </c>
      <c r="D77" s="1322">
        <v>484497754</v>
      </c>
      <c r="E77" s="447"/>
      <c r="F77" s="326"/>
    </row>
    <row r="78" spans="1:6">
      <c r="A78" s="1302" t="s">
        <v>65</v>
      </c>
      <c r="B78" s="1302" t="s">
        <v>639</v>
      </c>
      <c r="C78" s="1302" t="s">
        <v>645</v>
      </c>
      <c r="D78" s="1323">
        <v>41480207</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2517779.4684245801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2784.4586440210742</v>
      </c>
      <c r="C91" s="326"/>
      <c r="D91" s="326"/>
      <c r="E91" s="326"/>
      <c r="F91" s="326"/>
    </row>
    <row r="92" spans="1:6">
      <c r="A92" s="1302" t="s">
        <v>68</v>
      </c>
      <c r="B92" s="1303">
        <v>4351.4895717742438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7180</v>
      </c>
      <c r="C97" s="326"/>
      <c r="D97" s="326"/>
      <c r="E97" s="326"/>
      <c r="F97" s="326"/>
    </row>
    <row r="98" spans="1:6">
      <c r="A98" s="1307" t="s">
        <v>71</v>
      </c>
      <c r="B98" s="1308">
        <v>4</v>
      </c>
      <c r="C98" s="326"/>
      <c r="D98" s="326"/>
      <c r="E98" s="326"/>
      <c r="F98" s="326"/>
    </row>
    <row r="99" spans="1:6">
      <c r="A99" s="1307" t="s">
        <v>72</v>
      </c>
      <c r="B99" s="1308">
        <v>38</v>
      </c>
      <c r="C99" s="326"/>
      <c r="D99" s="326"/>
      <c r="E99" s="326"/>
      <c r="F99" s="326"/>
    </row>
    <row r="100" spans="1:6">
      <c r="A100" s="1307" t="s">
        <v>73</v>
      </c>
      <c r="B100" s="1308">
        <v>729</v>
      </c>
      <c r="C100" s="326"/>
      <c r="D100" s="326"/>
      <c r="E100" s="326"/>
      <c r="F100" s="326"/>
    </row>
    <row r="101" spans="1:6">
      <c r="A101" s="1307" t="s">
        <v>74</v>
      </c>
      <c r="B101" s="1308">
        <v>33</v>
      </c>
      <c r="C101" s="326"/>
      <c r="D101" s="326"/>
      <c r="E101" s="326"/>
      <c r="F101" s="326"/>
    </row>
    <row r="102" spans="1:6">
      <c r="A102" s="1307" t="s">
        <v>75</v>
      </c>
      <c r="B102" s="1308">
        <v>215</v>
      </c>
      <c r="C102" s="326"/>
      <c r="D102" s="326"/>
      <c r="E102" s="326"/>
      <c r="F102" s="326"/>
    </row>
    <row r="103" spans="1:6">
      <c r="A103" s="1307" t="s">
        <v>76</v>
      </c>
      <c r="B103" s="1308">
        <v>81</v>
      </c>
      <c r="C103" s="326"/>
      <c r="D103" s="326"/>
      <c r="E103" s="326"/>
      <c r="F103" s="326"/>
    </row>
    <row r="104" spans="1:6">
      <c r="A104" s="1307" t="s">
        <v>77</v>
      </c>
      <c r="B104" s="1308">
        <v>2411</v>
      </c>
      <c r="C104" s="326"/>
      <c r="D104" s="326"/>
      <c r="E104" s="326"/>
      <c r="F104" s="326"/>
    </row>
    <row r="105" spans="1:6">
      <c r="A105" s="1302" t="s">
        <v>78</v>
      </c>
      <c r="B105" s="1311">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8</v>
      </c>
      <c r="C121" s="1308">
        <v>0</v>
      </c>
      <c r="D121" s="326"/>
      <c r="E121" s="326"/>
      <c r="F121" s="326"/>
    </row>
    <row r="122" spans="1:6">
      <c r="A122" s="1307" t="s">
        <v>86</v>
      </c>
      <c r="B122" s="1308">
        <v>0</v>
      </c>
      <c r="C122" s="1308">
        <v>0</v>
      </c>
      <c r="D122" s="326"/>
      <c r="E122" s="326"/>
      <c r="F122" s="326"/>
    </row>
    <row r="123" spans="1:6">
      <c r="A123" s="1307" t="s">
        <v>87</v>
      </c>
      <c r="B123" s="1308">
        <v>45</v>
      </c>
      <c r="C123" s="1308">
        <v>20</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72</v>
      </c>
      <c r="C129" s="326"/>
      <c r="D129" s="326"/>
      <c r="E129" s="326"/>
      <c r="F129" s="326"/>
    </row>
    <row r="130" spans="1:6">
      <c r="A130" s="1307" t="s">
        <v>290</v>
      </c>
      <c r="B130" s="1308">
        <v>1</v>
      </c>
      <c r="C130" s="326"/>
      <c r="D130" s="326"/>
      <c r="E130" s="326"/>
      <c r="F130" s="326"/>
    </row>
    <row r="131" spans="1:6">
      <c r="A131" s="1307" t="s">
        <v>291</v>
      </c>
      <c r="B131" s="1308">
        <v>3</v>
      </c>
      <c r="C131" s="326"/>
      <c r="D131" s="326"/>
      <c r="E131" s="326"/>
      <c r="F131" s="326"/>
    </row>
    <row r="132" spans="1:6">
      <c r="A132" s="1302" t="s">
        <v>292</v>
      </c>
      <c r="B132" s="1303">
        <v>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281969.32727168594</v>
      </c>
      <c r="C3" s="43" t="s">
        <v>169</v>
      </c>
      <c r="D3" s="43"/>
      <c r="E3" s="154"/>
      <c r="F3" s="43"/>
      <c r="G3" s="43"/>
      <c r="H3" s="43"/>
      <c r="I3" s="43"/>
      <c r="J3" s="43"/>
      <c r="K3" s="96"/>
    </row>
    <row r="4" spans="1:11">
      <c r="A4" s="354" t="s">
        <v>170</v>
      </c>
      <c r="B4" s="49">
        <f>IF(ISERROR('SEAP template'!B78+'SEAP template'!C78),0,'SEAP template'!B78+'SEAP template'!C78)</f>
        <v>7936.948215795318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190.35529411764713</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0.21545432495547134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271.93613445378156</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1144.2857142857142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2745.7469999999998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2745.7469999999998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0.21545432495547134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591.58306638351053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44708.072477874899</v>
      </c>
      <c r="C5" s="17">
        <f>IF(ISERROR('Eigen informatie GS &amp; warmtenet'!B59),0,'Eigen informatie GS &amp; warmtenet'!B59)</f>
        <v>0</v>
      </c>
      <c r="D5" s="30">
        <f>(SUM(HH_hh_gas_kWh,HH_rest_gas_kWh)/1000)*0.903</f>
        <v>157759.43344792369</v>
      </c>
      <c r="E5" s="17">
        <f>B32*B41</f>
        <v>2075.8828722710805</v>
      </c>
      <c r="F5" s="17">
        <f>B36*B45</f>
        <v>47151.35571193217</v>
      </c>
      <c r="G5" s="18"/>
      <c r="H5" s="17"/>
      <c r="I5" s="17"/>
      <c r="J5" s="17">
        <f>B35*B44+C35*C44</f>
        <v>235.890277279705</v>
      </c>
      <c r="K5" s="17"/>
      <c r="L5" s="17"/>
      <c r="M5" s="17"/>
      <c r="N5" s="17">
        <f>B34*B43+C34*C43</f>
        <v>17861.798058159893</v>
      </c>
      <c r="O5" s="17">
        <f>B52*B53*B54</f>
        <v>182.52415618360692</v>
      </c>
      <c r="P5" s="17">
        <f>B60*B61*B62/1000-B60*B61*B62/1000/B63</f>
        <v>579.36776192267632</v>
      </c>
    </row>
    <row r="6" spans="1:16">
      <c r="A6" s="16" t="s">
        <v>604</v>
      </c>
      <c r="B6" s="779">
        <f>kWh_PV_kleiner_dan_10kW</f>
        <v>2784.4586440210742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47492.531121895976</v>
      </c>
      <c r="C8" s="21">
        <f>C5</f>
        <v>0</v>
      </c>
      <c r="D8" s="21">
        <f>D5</f>
        <v>157759.43344792369</v>
      </c>
      <c r="E8" s="21">
        <f>E5</f>
        <v>2075.8828722710805</v>
      </c>
      <c r="F8" s="21">
        <f>F5</f>
        <v>47151.35571193217</v>
      </c>
      <c r="G8" s="21"/>
      <c r="H8" s="21"/>
      <c r="I8" s="21"/>
      <c r="J8" s="21">
        <f>J5</f>
        <v>235.890277279705</v>
      </c>
      <c r="K8" s="21"/>
      <c r="L8" s="21">
        <f>L5</f>
        <v>0</v>
      </c>
      <c r="M8" s="21">
        <f>M5</f>
        <v>0</v>
      </c>
      <c r="N8" s="21">
        <f>N5</f>
        <v>17861.798058159893</v>
      </c>
      <c r="O8" s="21">
        <f>O5</f>
        <v>182.52415618360692</v>
      </c>
      <c r="P8" s="21">
        <f>P5</f>
        <v>579.36776192267632</v>
      </c>
    </row>
    <row r="9" spans="1:16">
      <c r="B9" s="19"/>
      <c r="C9" s="19"/>
      <c r="D9" s="254"/>
      <c r="E9" s="19"/>
      <c r="F9" s="19"/>
      <c r="G9" s="19"/>
      <c r="H9" s="19"/>
      <c r="I9" s="19"/>
      <c r="J9" s="19"/>
      <c r="K9" s="19"/>
      <c r="L9" s="19"/>
      <c r="M9" s="19"/>
      <c r="N9" s="19"/>
      <c r="O9" s="19"/>
      <c r="P9" s="19"/>
    </row>
    <row r="10" spans="1:16">
      <c r="A10" s="24" t="s">
        <v>213</v>
      </c>
      <c r="B10" s="25">
        <f ca="1">'EF ele_warmte'!B12</f>
        <v>0.21545432495547134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10232.471233294811</v>
      </c>
      <c r="C12" s="23">
        <f ca="1">C10*C8</f>
        <v>0</v>
      </c>
      <c r="D12" s="23">
        <f>D8*D10</f>
        <v>31867.405556480586</v>
      </c>
      <c r="E12" s="23">
        <f>E10*E8</f>
        <v>471.2254120055353</v>
      </c>
      <c r="F12" s="23">
        <f>F10*F8</f>
        <v>12589.41197508589</v>
      </c>
      <c r="G12" s="23"/>
      <c r="H12" s="23"/>
      <c r="I12" s="23"/>
      <c r="J12" s="23">
        <f>J10*J8</f>
        <v>83.505158157015572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13804</v>
      </c>
      <c r="C26" s="36"/>
      <c r="D26" s="225"/>
    </row>
    <row r="27" spans="1:5" s="15" customFormat="1">
      <c r="A27" s="227" t="s">
        <v>817</v>
      </c>
      <c r="B27" s="37">
        <f>SUM(HH_hh_gas_aantal,HH_rest_gas_aantal)</f>
        <v>10954</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10406.299999999999</v>
      </c>
      <c r="C31" s="34" t="s">
        <v>110</v>
      </c>
      <c r="D31" s="171"/>
    </row>
    <row r="32" spans="1:5">
      <c r="A32" s="168" t="s">
        <v>72</v>
      </c>
      <c r="B32" s="33">
        <f>IF((B21*($B$26-($B$27-0.05*$B$27)-$B$60))&lt;0,0,B21*($B$26-($B$27-0.05*$B$27)-$B$60))</f>
        <v>51.448695784325466</v>
      </c>
      <c r="C32" s="34" t="s">
        <v>110</v>
      </c>
      <c r="D32" s="171"/>
    </row>
    <row r="33" spans="1:6">
      <c r="A33" s="168" t="s">
        <v>73</v>
      </c>
      <c r="B33" s="33">
        <f>IF((B22*($B$26-($B$27-0.05*$B$27)-$B$60))&lt;0,0,B22*($B$26-($B$27-0.05*$B$27)-$B$60))</f>
        <v>835.42492427705372</v>
      </c>
      <c r="C33" s="34" t="s">
        <v>110</v>
      </c>
      <c r="D33" s="171"/>
    </row>
    <row r="34" spans="1:6">
      <c r="A34" s="168" t="s">
        <v>74</v>
      </c>
      <c r="B34" s="33">
        <f>IF((B24*($B$26-($B$27-0.05*$B$27)-$B$60))&lt;0,0,B24*($B$26-($B$27-0.05*$B$27)-$B$60))</f>
        <v>160.02411263696396</v>
      </c>
      <c r="C34" s="33">
        <f>B26*C24</f>
        <v>2826.6989174182968</v>
      </c>
      <c r="D34" s="230"/>
    </row>
    <row r="35" spans="1:6">
      <c r="A35" s="168" t="s">
        <v>76</v>
      </c>
      <c r="B35" s="33">
        <f>IF((B19*($B$26-($B$27-0.05*$B$27)-$B$60))&lt;0,0,B19*($B$26-($B$27-0.05*$B$27)-$B$60))</f>
        <v>22.364625400398236</v>
      </c>
      <c r="C35" s="33">
        <f>B35/2</f>
        <v>11.182312700199118</v>
      </c>
      <c r="D35" s="230"/>
    </row>
    <row r="36" spans="1:6">
      <c r="A36" s="168" t="s">
        <v>77</v>
      </c>
      <c r="B36" s="33">
        <f>IF((B18*($B$26-($B$27-0.05*$B$27)-$B$60))&lt;0,0,B18*($B$26-($B$27-0.05*$B$27)-$B$60))</f>
        <v>2273.4376419012583</v>
      </c>
      <c r="C36" s="34" t="s">
        <v>110</v>
      </c>
      <c r="D36" s="171"/>
    </row>
    <row r="37" spans="1:6">
      <c r="A37" s="168" t="s">
        <v>78</v>
      </c>
      <c r="B37" s="33">
        <f>B60</f>
        <v>55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92</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172978.29588966508</v>
      </c>
      <c r="C5" s="17">
        <f>IF(ISERROR('Eigen informatie GS &amp; warmtenet'!B60),0,'Eigen informatie GS &amp; warmtenet'!B60)</f>
        <v>0</v>
      </c>
      <c r="D5" s="30">
        <f>SUM(D6:D12)</f>
        <v>116194.84159162894</v>
      </c>
      <c r="E5" s="17">
        <f>SUM(E6:E12)</f>
        <v>195.51205448655932</v>
      </c>
      <c r="F5" s="17">
        <f>SUM(F6:F12)</f>
        <v>17316.230201679213</v>
      </c>
      <c r="G5" s="18"/>
      <c r="H5" s="17"/>
      <c r="I5" s="17"/>
      <c r="J5" s="17">
        <f>SUM(J6:J12)</f>
        <v>2.0460558061767956E-2</v>
      </c>
      <c r="K5" s="17"/>
      <c r="L5" s="17"/>
      <c r="M5" s="17"/>
      <c r="N5" s="17">
        <f>SUM(N6:N12)</f>
        <v>842.30145033258736</v>
      </c>
      <c r="O5" s="17">
        <f>B38*B39*B40</f>
        <v>4.8972607658411542</v>
      </c>
      <c r="P5" s="17">
        <f>B46*B47*B48/1000-B46*B47*B48/1000/B49</f>
        <v>577.93052137144514</v>
      </c>
      <c r="R5" s="32"/>
    </row>
    <row r="6" spans="1:18">
      <c r="A6" s="32" t="s">
        <v>53</v>
      </c>
      <c r="B6" s="37">
        <f>B26</f>
        <v>120244.67419074599</v>
      </c>
      <c r="C6" s="33"/>
      <c r="D6" s="37">
        <f>IF(ISERROR(TER_kantoor_gas_kWh/1000),0,TER_kantoor_gas_kWh/1000)*0.903</f>
        <v>69402.417420660393</v>
      </c>
      <c r="E6" s="33">
        <f>$C$26*'E Balans VL '!I12/100/3.6*1000000</f>
        <v>28.807765766006071</v>
      </c>
      <c r="F6" s="33">
        <f>$C$26*('E Balans VL '!L12+'E Balans VL '!N12)/100/3.6*1000000</f>
        <v>11402.661222365725</v>
      </c>
      <c r="G6" s="34"/>
      <c r="H6" s="33"/>
      <c r="I6" s="33"/>
      <c r="J6" s="33">
        <f>$C$26*('E Balans VL '!D12+'E Balans VL '!E12)/100/3.6*1000000</f>
        <v>0</v>
      </c>
      <c r="K6" s="33"/>
      <c r="L6" s="33"/>
      <c r="M6" s="33"/>
      <c r="N6" s="33">
        <f>$C$26*'E Balans VL '!Y12/100/3.6*1000000</f>
        <v>61.078074989946494</v>
      </c>
      <c r="O6" s="33"/>
      <c r="P6" s="33"/>
      <c r="R6" s="32"/>
    </row>
    <row r="7" spans="1:18">
      <c r="A7" s="32" t="s">
        <v>52</v>
      </c>
      <c r="B7" s="37">
        <f t="shared" ref="B7:B12" si="0">B27</f>
        <v>7719.9222588357406</v>
      </c>
      <c r="C7" s="33"/>
      <c r="D7" s="37">
        <f>IF(ISERROR(TER_horeca_gas_kWh/1000),0,TER_horeca_gas_kWh/1000)*0.903</f>
        <v>13063.917540341648</v>
      </c>
      <c r="E7" s="33">
        <f>$C$27*'E Balans VL '!I9/100/3.6*1000000</f>
        <v>0</v>
      </c>
      <c r="F7" s="33">
        <f>$C$27*('E Balans VL '!L9+'E Balans VL '!N9)/100/3.6*1000000</f>
        <v>633.01547808589271</v>
      </c>
      <c r="G7" s="34"/>
      <c r="H7" s="33"/>
      <c r="I7" s="33"/>
      <c r="J7" s="33">
        <f>$C$27*('E Balans VL '!D9+'E Balans VL '!E9)/100/3.6*1000000</f>
        <v>0</v>
      </c>
      <c r="K7" s="33"/>
      <c r="L7" s="33"/>
      <c r="M7" s="33"/>
      <c r="N7" s="33">
        <f>$C$27*'E Balans VL '!Y9/100/3.6*1000000</f>
        <v>2.3664663360640672</v>
      </c>
      <c r="O7" s="33"/>
      <c r="P7" s="33"/>
      <c r="R7" s="32"/>
    </row>
    <row r="8" spans="1:18">
      <c r="A8" s="6" t="s">
        <v>51</v>
      </c>
      <c r="B8" s="37">
        <f t="shared" si="0"/>
        <v>38990.922068624001</v>
      </c>
      <c r="C8" s="33"/>
      <c r="D8" s="37">
        <f>IF(ISERROR(TER_handel_gas_kWh/1000),0,TER_handel_gas_kWh/1000)*0.903</f>
        <v>26123.335849450199</v>
      </c>
      <c r="E8" s="33">
        <f>$C$28*'E Balans VL '!I13/100/3.6*1000000</f>
        <v>137.03178046179349</v>
      </c>
      <c r="F8" s="33">
        <f>$C$28*('E Balans VL '!L13+'E Balans VL '!N13)/100/3.6*1000000</f>
        <v>3567.5993481178816</v>
      </c>
      <c r="G8" s="34"/>
      <c r="H8" s="33"/>
      <c r="I8" s="33"/>
      <c r="J8" s="33">
        <f>$C$28*('E Balans VL '!D13+'E Balans VL '!E13)/100/3.6*1000000</f>
        <v>0</v>
      </c>
      <c r="K8" s="33"/>
      <c r="L8" s="33"/>
      <c r="M8" s="33"/>
      <c r="N8" s="33">
        <f>$C$28*'E Balans VL '!Y13/100/3.6*1000000</f>
        <v>14.120833351238742</v>
      </c>
      <c r="O8" s="33"/>
      <c r="P8" s="33"/>
      <c r="R8" s="32"/>
    </row>
    <row r="9" spans="1:18">
      <c r="A9" s="32" t="s">
        <v>50</v>
      </c>
      <c r="B9" s="37">
        <f t="shared" si="0"/>
        <v>3110.0090315390803</v>
      </c>
      <c r="C9" s="33"/>
      <c r="D9" s="37">
        <f>IF(ISERROR(TER_gezond_gas_kWh/1000),0,TER_gezond_gas_kWh/1000)*0.903</f>
        <v>3613.6175669453005</v>
      </c>
      <c r="E9" s="33">
        <f>$C$29*'E Balans VL '!I10/100/3.6*1000000</f>
        <v>0</v>
      </c>
      <c r="F9" s="33">
        <f>$C$29*('E Balans VL '!L10+'E Balans VL '!N10)/100/3.6*1000000</f>
        <v>381.22999833169547</v>
      </c>
      <c r="G9" s="34"/>
      <c r="H9" s="33"/>
      <c r="I9" s="33"/>
      <c r="J9" s="33">
        <f>$C$29*('E Balans VL '!D10+'E Balans VL '!E10)/100/3.6*1000000</f>
        <v>0</v>
      </c>
      <c r="K9" s="33"/>
      <c r="L9" s="33"/>
      <c r="M9" s="33"/>
      <c r="N9" s="33">
        <f>$C$29*'E Balans VL '!Y10/100/3.6*1000000</f>
        <v>22.934149382769181</v>
      </c>
      <c r="O9" s="33"/>
      <c r="P9" s="33"/>
      <c r="R9" s="32"/>
    </row>
    <row r="10" spans="1:18">
      <c r="A10" s="32" t="s">
        <v>49</v>
      </c>
      <c r="B10" s="37">
        <f t="shared" si="0"/>
        <v>2071.7831876098098</v>
      </c>
      <c r="C10" s="33"/>
      <c r="D10" s="37">
        <f>IF(ISERROR(TER_ander_gas_kWh/1000),0,TER_ander_gas_kWh/1000)*0.903</f>
        <v>2197.9870596146279</v>
      </c>
      <c r="E10" s="33">
        <f>$C$30*'E Balans VL '!I14/100/3.6*1000000</f>
        <v>29.672508258759763</v>
      </c>
      <c r="F10" s="33">
        <f>$C$30*('E Balans VL '!L14+'E Balans VL '!N14)/100/3.6*1000000</f>
        <v>1233.4029756745811</v>
      </c>
      <c r="G10" s="34"/>
      <c r="H10" s="33"/>
      <c r="I10" s="33"/>
      <c r="J10" s="33">
        <f>$C$30*('E Balans VL '!D14+'E Balans VL '!E14)/100/3.6*1000000</f>
        <v>2.0460558061767956E-2</v>
      </c>
      <c r="K10" s="33"/>
      <c r="L10" s="33"/>
      <c r="M10" s="33"/>
      <c r="N10" s="33">
        <f>$C$30*'E Balans VL '!Y14/100/3.6*1000000</f>
        <v>739.43380865501126</v>
      </c>
      <c r="O10" s="33"/>
      <c r="P10" s="33"/>
      <c r="R10" s="32"/>
    </row>
    <row r="11" spans="1:18">
      <c r="A11" s="32" t="s">
        <v>54</v>
      </c>
      <c r="B11" s="37">
        <f t="shared" si="0"/>
        <v>840.98515231047099</v>
      </c>
      <c r="C11" s="33"/>
      <c r="D11" s="37">
        <f>IF(ISERROR(TER_onderwijs_gas_kWh/1000),0,TER_onderwijs_gas_kWh/1000)*0.903</f>
        <v>1793.5661546167612</v>
      </c>
      <c r="E11" s="33">
        <f>$C$31*'E Balans VL '!I11/100/3.6*1000000</f>
        <v>0</v>
      </c>
      <c r="F11" s="33">
        <f>$C$31*('E Balans VL '!L11+'E Balans VL '!N11)/100/3.6*1000000</f>
        <v>98.321179103436648</v>
      </c>
      <c r="G11" s="34"/>
      <c r="H11" s="33"/>
      <c r="I11" s="33"/>
      <c r="J11" s="33">
        <f>$C$31*('E Balans VL '!D11+'E Balans VL '!E11)/100/3.6*1000000</f>
        <v>0</v>
      </c>
      <c r="K11" s="33"/>
      <c r="L11" s="33"/>
      <c r="M11" s="33"/>
      <c r="N11" s="33">
        <f>$C$31*'E Balans VL '!Y11/100/3.6*1000000</f>
        <v>2.368117617557524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801</v>
      </c>
      <c r="C13" s="243">
        <f ca="1">'lokale energieproductie'!O38+'lokale energieproductie'!O31</f>
        <v>1144.2857142857142</v>
      </c>
      <c r="D13" s="304">
        <f ca="1">('lokale energieproductie'!P31+'lokale energieproductie'!P38)*(-1)</f>
        <v>-2288.5714285714289</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173779.29588966508</v>
      </c>
      <c r="C16" s="21">
        <f t="shared" ca="1" si="1"/>
        <v>1144.2857142857142</v>
      </c>
      <c r="D16" s="21">
        <f t="shared" ca="1" si="1"/>
        <v>113906.2701630575</v>
      </c>
      <c r="E16" s="21">
        <f t="shared" si="1"/>
        <v>195.51205448655932</v>
      </c>
      <c r="F16" s="21">
        <f t="shared" ca="1" si="1"/>
        <v>17316.230201679213</v>
      </c>
      <c r="G16" s="21">
        <f t="shared" si="1"/>
        <v>0</v>
      </c>
      <c r="H16" s="21">
        <f t="shared" si="1"/>
        <v>0</v>
      </c>
      <c r="I16" s="21">
        <f t="shared" si="1"/>
        <v>0</v>
      </c>
      <c r="J16" s="21">
        <f t="shared" si="1"/>
        <v>2.0460558061767956E-2</v>
      </c>
      <c r="K16" s="21">
        <f t="shared" si="1"/>
        <v>0</v>
      </c>
      <c r="L16" s="21">
        <f t="shared" ca="1" si="1"/>
        <v>0</v>
      </c>
      <c r="M16" s="21">
        <f t="shared" si="1"/>
        <v>0</v>
      </c>
      <c r="N16" s="21">
        <f t="shared" ca="1" si="1"/>
        <v>842.30145033258736</v>
      </c>
      <c r="O16" s="21">
        <f>O5</f>
        <v>4.8972607658411542</v>
      </c>
      <c r="P16" s="21">
        <f>P5</f>
        <v>577.93052137144514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0.21545432495547134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37441.500887144903</v>
      </c>
      <c r="C20" s="23">
        <f t="shared" ref="C20:P20" ca="1" si="2">C16*C18</f>
        <v>271.93613445378156</v>
      </c>
      <c r="D20" s="23">
        <f t="shared" ca="1" si="2"/>
        <v>23009.066572937616</v>
      </c>
      <c r="E20" s="23">
        <f t="shared" si="2"/>
        <v>44.381236368448967</v>
      </c>
      <c r="F20" s="23">
        <f t="shared" ca="1" si="2"/>
        <v>4623.4334638483497</v>
      </c>
      <c r="G20" s="23">
        <f t="shared" si="2"/>
        <v>0</v>
      </c>
      <c r="H20" s="23">
        <f t="shared" si="2"/>
        <v>0</v>
      </c>
      <c r="I20" s="23">
        <f t="shared" si="2"/>
        <v>0</v>
      </c>
      <c r="J20" s="23">
        <f t="shared" si="2"/>
        <v>7.2430375538658559E-3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120244.67419074599</v>
      </c>
      <c r="C26" s="39">
        <f>IF(ISERROR(B26*3.6/1000000/'E Balans VL '!Z12*100),0,B26*3.6/1000000/'E Balans VL '!Z12*100)</f>
        <v>3.3912182361981591</v>
      </c>
      <c r="D26" s="233" t="s">
        <v>691</v>
      </c>
      <c r="F26" s="6"/>
    </row>
    <row r="27" spans="1:18">
      <c r="A27" s="228" t="s">
        <v>52</v>
      </c>
      <c r="B27" s="33">
        <f>IF(ISERROR(TER_horeca_ele_kWh/1000),0,TER_horeca_ele_kWh/1000)</f>
        <v>7719.9222588357406</v>
      </c>
      <c r="C27" s="39">
        <f>IF(ISERROR(B27*3.6/1000000/'E Balans VL '!Z9*100),0,B27*3.6/1000000/'E Balans VL '!Z9*100)</f>
        <v>0.57233739873947731</v>
      </c>
      <c r="D27" s="233" t="s">
        <v>691</v>
      </c>
      <c r="F27" s="6"/>
    </row>
    <row r="28" spans="1:18">
      <c r="A28" s="168" t="s">
        <v>51</v>
      </c>
      <c r="B28" s="33">
        <f>IF(ISERROR(TER_handel_ele_kWh/1000),0,TER_handel_ele_kWh/1000)</f>
        <v>38990.922068624001</v>
      </c>
      <c r="C28" s="39">
        <f>IF(ISERROR(B28*3.6/1000000/'E Balans VL '!Z13*100),0,B28*3.6/1000000/'E Balans VL '!Z13*100)</f>
        <v>1.1680753207975649</v>
      </c>
      <c r="D28" s="233" t="s">
        <v>691</v>
      </c>
      <c r="F28" s="6"/>
    </row>
    <row r="29" spans="1:18">
      <c r="A29" s="228" t="s">
        <v>50</v>
      </c>
      <c r="B29" s="33">
        <f>IF(ISERROR(TER_gezond_ele_kWh/1000),0,TER_gezond_ele_kWh/1000)</f>
        <v>3110.0090315390803</v>
      </c>
      <c r="C29" s="39">
        <f>IF(ISERROR(B29*3.6/1000000/'E Balans VL '!Z10*100),0,B29*3.6/1000000/'E Balans VL '!Z10*100)</f>
        <v>0.30751891200075215</v>
      </c>
      <c r="D29" s="233" t="s">
        <v>691</v>
      </c>
      <c r="F29" s="6"/>
    </row>
    <row r="30" spans="1:18">
      <c r="A30" s="228" t="s">
        <v>49</v>
      </c>
      <c r="B30" s="33">
        <f>IF(ISERROR(TER_ander_ele_kWh/1000),0,TER_ander_ele_kWh/1000)</f>
        <v>2071.7831876098098</v>
      </c>
      <c r="C30" s="39">
        <f>IF(ISERROR(B30*3.6/1000000/'E Balans VL '!Z14*100),0,B30*3.6/1000000/'E Balans VL '!Z14*100)</f>
        <v>8.3797507420210054E-2</v>
      </c>
      <c r="D30" s="233" t="s">
        <v>691</v>
      </c>
      <c r="F30" s="6"/>
    </row>
    <row r="31" spans="1:18">
      <c r="A31" s="228" t="s">
        <v>54</v>
      </c>
      <c r="B31" s="33">
        <f>IF(ISERROR(TER_onderwijs_ele_kWh/1000),0,TER_onderwijs_ele_kWh/1000)</f>
        <v>840.98515231047099</v>
      </c>
      <c r="C31" s="39">
        <f>IF(ISERROR(B31*3.6/1000000/'E Balans VL '!Z11*100),0,B31*3.6/1000000/'E Balans VL '!Z11*100)</f>
        <v>0.23105540151923645</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45631.273135504198</v>
      </c>
      <c r="C5" s="17">
        <f>IF(ISERROR('Eigen informatie GS &amp; warmtenet'!B61),0,'Eigen informatie GS &amp; warmtenet'!B61)</f>
        <v>0</v>
      </c>
      <c r="D5" s="30">
        <f>SUM(D6:D15)</f>
        <v>25262.472750940309</v>
      </c>
      <c r="E5" s="17">
        <f>SUM(E6:E15)</f>
        <v>273.0577467012435</v>
      </c>
      <c r="F5" s="17">
        <f>SUM(F6:F15)</f>
        <v>8758.9140616512232</v>
      </c>
      <c r="G5" s="18"/>
      <c r="H5" s="17"/>
      <c r="I5" s="17"/>
      <c r="J5" s="17">
        <f>SUM(J6:J15)</f>
        <v>27.899458347824332</v>
      </c>
      <c r="K5" s="17"/>
      <c r="L5" s="17"/>
      <c r="M5" s="17"/>
      <c r="N5" s="17">
        <f>SUM(N6:N15)</f>
        <v>923.23242892978487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31445.198865707902</v>
      </c>
      <c r="C8" s="33"/>
      <c r="D8" s="37">
        <f>IF( ISERROR(IND_metaal_Gas_kWH/1000),0,IND_metaal_Gas_kWH/1000)*0.903</f>
        <v>13885.536290026654</v>
      </c>
      <c r="E8" s="33">
        <f>C30*'E Balans VL '!I18/100/3.6*1000000</f>
        <v>158.55217921799726</v>
      </c>
      <c r="F8" s="33">
        <f>C30*'E Balans VL '!L18/100/3.6*1000000+C30*'E Balans VL '!N18/100/3.6*1000000</f>
        <v>2148.4002432290877</v>
      </c>
      <c r="G8" s="34"/>
      <c r="H8" s="33"/>
      <c r="I8" s="33"/>
      <c r="J8" s="40">
        <f>C30*'E Balans VL '!D18/100/3.6*1000000+C30*'E Balans VL '!E18/100/3.6*1000000</f>
        <v>27.878851104468104</v>
      </c>
      <c r="K8" s="33"/>
      <c r="L8" s="33"/>
      <c r="M8" s="33"/>
      <c r="N8" s="33">
        <f>C30*'E Balans VL '!Y18/100/3.6*1000000</f>
        <v>417.90687953764882</v>
      </c>
      <c r="O8" s="33"/>
      <c r="P8" s="33"/>
      <c r="R8" s="32"/>
    </row>
    <row r="9" spans="1:18">
      <c r="A9" s="6" t="s">
        <v>32</v>
      </c>
      <c r="B9" s="37">
        <f t="shared" si="0"/>
        <v>10744.094568030101</v>
      </c>
      <c r="C9" s="33"/>
      <c r="D9" s="37">
        <f>IF( ISERROR(IND_andere_gas_kWh/1000),0,IND_andere_gas_kWh/1000)*0.903</f>
        <v>9600.6249766500077</v>
      </c>
      <c r="E9" s="33">
        <f>C31*'E Balans VL '!I19/100/3.6*1000000</f>
        <v>33.867925373255929</v>
      </c>
      <c r="F9" s="33">
        <f>C31*'E Balans VL '!L19/100/3.6*1000000+C31*'E Balans VL '!N19/100/3.6*1000000</f>
        <v>6577.0828117752781</v>
      </c>
      <c r="G9" s="34"/>
      <c r="H9" s="33"/>
      <c r="I9" s="33"/>
      <c r="J9" s="40">
        <f>C31*'E Balans VL '!D19/100/3.6*1000000+C31*'E Balans VL '!E19/100/3.6*1000000</f>
        <v>0</v>
      </c>
      <c r="K9" s="33"/>
      <c r="L9" s="33"/>
      <c r="M9" s="33"/>
      <c r="N9" s="33">
        <f>C31*'E Balans VL '!Y19/100/3.6*1000000</f>
        <v>450.51447379326629</v>
      </c>
      <c r="O9" s="33"/>
      <c r="P9" s="33"/>
      <c r="R9" s="32"/>
    </row>
    <row r="10" spans="1:18">
      <c r="A10" s="6" t="s">
        <v>40</v>
      </c>
      <c r="B10" s="37">
        <f t="shared" si="0"/>
        <v>1238.6944260258199</v>
      </c>
      <c r="C10" s="33"/>
      <c r="D10" s="37">
        <f>IF( ISERROR(IND_voed_gas_kWh/1000),0,IND_voed_gas_kWh/1000)*0.903</f>
        <v>759.76903119026701</v>
      </c>
      <c r="E10" s="33">
        <f>C32*'E Balans VL '!I20/100/3.6*1000000</f>
        <v>1.9741310361716404</v>
      </c>
      <c r="F10" s="33">
        <f>C32*'E Balans VL '!L20/100/3.6*1000000+C32*'E Balans VL '!N20/100/3.6*1000000</f>
        <v>20.125775293061491</v>
      </c>
      <c r="G10" s="34"/>
      <c r="H10" s="33"/>
      <c r="I10" s="33"/>
      <c r="J10" s="40">
        <f>C32*'E Balans VL '!D20/100/3.6*1000000+C32*'E Balans VL '!E20/100/3.6*1000000</f>
        <v>0</v>
      </c>
      <c r="K10" s="33"/>
      <c r="L10" s="33"/>
      <c r="M10" s="33"/>
      <c r="N10" s="33">
        <f>C32*'E Balans VL '!Y20/100/3.6*1000000</f>
        <v>39.124156474555896</v>
      </c>
      <c r="O10" s="33"/>
      <c r="P10" s="33"/>
      <c r="R10" s="32"/>
    </row>
    <row r="11" spans="1:18">
      <c r="A11" s="6" t="s">
        <v>39</v>
      </c>
      <c r="B11" s="37">
        <f t="shared" si="0"/>
        <v>36.542800337938303</v>
      </c>
      <c r="C11" s="33"/>
      <c r="D11" s="37">
        <f>IF( ISERROR(IND_textiel_gas_kWh/1000),0,IND_textiel_gas_kWh/1000)*0.903</f>
        <v>0</v>
      </c>
      <c r="E11" s="33">
        <f>C33*'E Balans VL '!I21/100/3.6*1000000</f>
        <v>5.3016925874022319E-2</v>
      </c>
      <c r="F11" s="33">
        <f>C33*'E Balans VL '!L21/100/3.6*1000000+C33*'E Balans VL '!N21/100/3.6*1000000</f>
        <v>0.7151660819898058</v>
      </c>
      <c r="G11" s="34"/>
      <c r="H11" s="33"/>
      <c r="I11" s="33"/>
      <c r="J11" s="40">
        <f>C33*'E Balans VL '!D21/100/3.6*1000000+C33*'E Balans VL '!E21/100/3.6*1000000</f>
        <v>0</v>
      </c>
      <c r="K11" s="33"/>
      <c r="L11" s="33"/>
      <c r="M11" s="33"/>
      <c r="N11" s="33">
        <f>C33*'E Balans VL '!Y21/100/3.6*1000000</f>
        <v>1.7802822970057435</v>
      </c>
      <c r="O11" s="33"/>
      <c r="P11" s="33"/>
      <c r="R11" s="32"/>
    </row>
    <row r="12" spans="1:18">
      <c r="A12" s="6" t="s">
        <v>36</v>
      </c>
      <c r="B12" s="37">
        <f t="shared" si="0"/>
        <v>80.997712720017788</v>
      </c>
      <c r="C12" s="33"/>
      <c r="D12" s="37">
        <f>IF( ISERROR(IND_min_gas_kWh/1000),0,IND_min_gas_kWh/1000)*0.903</f>
        <v>0</v>
      </c>
      <c r="E12" s="33">
        <f>C34*'E Balans VL '!I22/100/3.6*1000000</f>
        <v>0.35049903584417752</v>
      </c>
      <c r="F12" s="33">
        <f>C34*'E Balans VL '!L22/100/3.6*1000000+C34*'E Balans VL '!N22/100/3.6*1000000</f>
        <v>3.0925926576039036</v>
      </c>
      <c r="G12" s="34"/>
      <c r="H12" s="33"/>
      <c r="I12" s="33"/>
      <c r="J12" s="40">
        <f>C34*'E Balans VL '!D22/100/3.6*1000000+C34*'E Balans VL '!E22/100/3.6*1000000</f>
        <v>0</v>
      </c>
      <c r="K12" s="33"/>
      <c r="L12" s="33"/>
      <c r="M12" s="33"/>
      <c r="N12" s="33">
        <f>C34*'E Balans VL '!Y22/100/3.6*1000000</f>
        <v>13.816385201052482</v>
      </c>
      <c r="O12" s="33"/>
      <c r="P12" s="33"/>
      <c r="R12" s="32"/>
    </row>
    <row r="13" spans="1:18">
      <c r="A13" s="6" t="s">
        <v>38</v>
      </c>
      <c r="B13" s="37">
        <f t="shared" si="0"/>
        <v>747.58071425611001</v>
      </c>
      <c r="C13" s="33"/>
      <c r="D13" s="37">
        <f>IF( ISERROR(IND_papier_gas_kWh/1000),0,IND_papier_gas_kWh/1000)*0.903</f>
        <v>525.64598558170781</v>
      </c>
      <c r="E13" s="33">
        <f>C35*'E Balans VL '!I23/100/3.6*1000000</f>
        <v>0</v>
      </c>
      <c r="F13" s="33">
        <f>C35*'E Balans VL '!L23/100/3.6*1000000+C35*'E Balans VL '!N23/100/3.6*1000000</f>
        <v>3.2388672702081844E-2</v>
      </c>
      <c r="G13" s="34"/>
      <c r="H13" s="33"/>
      <c r="I13" s="33"/>
      <c r="J13" s="40">
        <f>C35*'E Balans VL '!D23/100/3.6*1000000+C35*'E Balans VL '!E23/100/3.6*1000000</f>
        <v>2.0599414086082683E-2</v>
      </c>
      <c r="K13" s="33"/>
      <c r="L13" s="33"/>
      <c r="M13" s="33"/>
      <c r="N13" s="33">
        <f>C35*'E Balans VL '!Y23/100/3.6*1000000</f>
        <v>0</v>
      </c>
      <c r="O13" s="33"/>
      <c r="P13" s="33"/>
      <c r="R13" s="32"/>
    </row>
    <row r="14" spans="1:18">
      <c r="A14" s="6" t="s">
        <v>33</v>
      </c>
      <c r="B14" s="37">
        <f t="shared" si="0"/>
        <v>1338.1602134802699</v>
      </c>
      <c r="C14" s="33"/>
      <c r="D14" s="37">
        <f>IF( ISERROR(IND_chemie_gas_kWh/1000),0,IND_chemie_gas_kWh/1000)*0.903</f>
        <v>0</v>
      </c>
      <c r="E14" s="33">
        <f>C36*'E Balans VL '!I24/100/3.6*1000000</f>
        <v>78.259898449271248</v>
      </c>
      <c r="F14" s="33">
        <f>C36*'E Balans VL '!L24/100/3.6*1000000+C36*'E Balans VL '!N24/100/3.6*1000000</f>
        <v>9.4647726155203387</v>
      </c>
      <c r="G14" s="34"/>
      <c r="H14" s="33"/>
      <c r="I14" s="33"/>
      <c r="J14" s="40">
        <f>C36*'E Balans VL '!D24/100/3.6*1000000+C36*'E Balans VL '!E24/100/3.6*1000000</f>
        <v>0</v>
      </c>
      <c r="K14" s="33"/>
      <c r="L14" s="33"/>
      <c r="M14" s="33"/>
      <c r="N14" s="33">
        <f>C36*'E Balans VL '!Y24/100/3.6*1000000</f>
        <v>9.0186826181120588E-2</v>
      </c>
      <c r="O14" s="33"/>
      <c r="P14" s="33"/>
      <c r="R14" s="32"/>
    </row>
    <row r="15" spans="1:18">
      <c r="A15" s="6" t="s">
        <v>265</v>
      </c>
      <c r="B15" s="37">
        <f t="shared" si="0"/>
        <v>3.8349460506E-3</v>
      </c>
      <c r="C15" s="33"/>
      <c r="D15" s="37">
        <f>IF( ISERROR(IND_rest_gas_kWh/1000),0,IND_rest_gas_kWh/1000)*0.903</f>
        <v>490.89646749167474</v>
      </c>
      <c r="E15" s="33">
        <f>C37*'E Balans VL '!I15/100/3.6*1000000</f>
        <v>9.6662829225033166E-5</v>
      </c>
      <c r="F15" s="33">
        <f>C37*'E Balans VL '!L15/100/3.6*1000000+C37*'E Balans VL '!N15/100/3.6*1000000</f>
        <v>3.1132598010346572E-4</v>
      </c>
      <c r="G15" s="34"/>
      <c r="H15" s="33"/>
      <c r="I15" s="33"/>
      <c r="J15" s="40">
        <f>C37*'E Balans VL '!D15/100/3.6*1000000+C37*'E Balans VL '!E15/100/3.6*1000000</f>
        <v>7.8292701463550682E-6</v>
      </c>
      <c r="K15" s="33"/>
      <c r="L15" s="33"/>
      <c r="M15" s="33"/>
      <c r="N15" s="33">
        <f>C37*'E Balans VL '!Y15/100/3.6*1000000</f>
        <v>6.4800074524166612E-5</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45631.273135504198</v>
      </c>
      <c r="C18" s="21">
        <f>C5+C16</f>
        <v>0</v>
      </c>
      <c r="D18" s="21">
        <f>MAX((D5+D16),0)</f>
        <v>25262.472750940309</v>
      </c>
      <c r="E18" s="21">
        <f>MAX((E5+E16),0)</f>
        <v>273.0577467012435</v>
      </c>
      <c r="F18" s="21">
        <f>MAX((F5+F16),0)</f>
        <v>8758.9140616512232</v>
      </c>
      <c r="G18" s="21"/>
      <c r="H18" s="21"/>
      <c r="I18" s="21"/>
      <c r="J18" s="21">
        <f>MAX((J5+J16),0)</f>
        <v>27.899458347824332</v>
      </c>
      <c r="K18" s="21"/>
      <c r="L18" s="21">
        <f>MAX((L5+L16),0)</f>
        <v>0</v>
      </c>
      <c r="M18" s="21"/>
      <c r="N18" s="21">
        <f>MAX((N5+N16),0)</f>
        <v>923.23242892978487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0.21545432495547134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9831.4551502687918</v>
      </c>
      <c r="C22" s="23">
        <f ca="1">C18*C20</f>
        <v>0</v>
      </c>
      <c r="D22" s="23">
        <f>D18*D20</f>
        <v>5103.0194956899431</v>
      </c>
      <c r="E22" s="23">
        <f>E18*E20</f>
        <v>61.984108501182277</v>
      </c>
      <c r="F22" s="23">
        <f>F18*F20</f>
        <v>2338.6300544608766</v>
      </c>
      <c r="G22" s="23"/>
      <c r="H22" s="23"/>
      <c r="I22" s="23"/>
      <c r="J22" s="23">
        <f>J18*J20</f>
        <v>9.8764082551298138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31445.198865707902</v>
      </c>
      <c r="C30" s="39">
        <f>IF(ISERROR(B30*3.6/1000000/'E Balans VL '!Z18*100),0,B30*3.6/1000000/'E Balans VL '!Z18*100)</f>
        <v>1.5608688021164054</v>
      </c>
      <c r="D30" s="233" t="s">
        <v>691</v>
      </c>
    </row>
    <row r="31" spans="1:18">
      <c r="A31" s="6" t="s">
        <v>32</v>
      </c>
      <c r="B31" s="37">
        <f>IF( ISERROR(IND_ander_ele_kWh/1000),0,IND_ander_ele_kWh/1000)</f>
        <v>10744.094568030101</v>
      </c>
      <c r="C31" s="39">
        <f>IF(ISERROR(B31*3.6/1000000/'E Balans VL '!Z19*100),0,B31*3.6/1000000/'E Balans VL '!Z19*100)</f>
        <v>0.36255813552384913</v>
      </c>
      <c r="D31" s="233" t="s">
        <v>691</v>
      </c>
    </row>
    <row r="32" spans="1:18">
      <c r="A32" s="168" t="s">
        <v>40</v>
      </c>
      <c r="B32" s="37">
        <f>IF( ISERROR(IND_voed_ele_kWh/1000),0,IND_voed_ele_kWh/1000)</f>
        <v>1238.6944260258199</v>
      </c>
      <c r="C32" s="39">
        <f>IF(ISERROR(B32*3.6/1000000/'E Balans VL '!Z20*100),0,B32*3.6/1000000/'E Balans VL '!Z20*100)</f>
        <v>2.9089887711595742E-2</v>
      </c>
      <c r="D32" s="233" t="s">
        <v>691</v>
      </c>
    </row>
    <row r="33" spans="1:5">
      <c r="A33" s="168" t="s">
        <v>39</v>
      </c>
      <c r="B33" s="37">
        <f>IF( ISERROR(IND_textiel_ele_kWh/1000),0,IND_textiel_ele_kWh/1000)</f>
        <v>36.542800337938303</v>
      </c>
      <c r="C33" s="39">
        <f>IF(ISERROR(B33*3.6/1000000/'E Balans VL '!Z21*100),0,B33*3.6/1000000/'E Balans VL '!Z21*100)</f>
        <v>4.0105260169464247E-3</v>
      </c>
      <c r="D33" s="233" t="s">
        <v>691</v>
      </c>
    </row>
    <row r="34" spans="1:5">
      <c r="A34" s="168" t="s">
        <v>36</v>
      </c>
      <c r="B34" s="37">
        <f>IF( ISERROR(IND_min_ele_kWh/1000),0,IND_min_ele_kWh/1000)</f>
        <v>80.997712720017788</v>
      </c>
      <c r="C34" s="39">
        <f>IF(ISERROR(B34*3.6/1000000/'E Balans VL '!Z22*100),0,B34*3.6/1000000/'E Balans VL '!Z22*100)</f>
        <v>1.1491206944320287E-2</v>
      </c>
      <c r="D34" s="233" t="s">
        <v>691</v>
      </c>
    </row>
    <row r="35" spans="1:5">
      <c r="A35" s="168" t="s">
        <v>38</v>
      </c>
      <c r="B35" s="37">
        <f>IF( ISERROR(IND_papier_ele_kWh/1000),0,IND_papier_ele_kWh/1000)</f>
        <v>747.58071425611001</v>
      </c>
      <c r="C35" s="39">
        <f>IF(ISERROR(B35*3.6/1000000/'E Balans VL '!Z22*100),0,B35*3.6/1000000/'E Balans VL '!Z22*100)</f>
        <v>0.10605984300809333</v>
      </c>
      <c r="D35" s="233" t="s">
        <v>691</v>
      </c>
    </row>
    <row r="36" spans="1:5">
      <c r="A36" s="168" t="s">
        <v>33</v>
      </c>
      <c r="B36" s="37">
        <f>IF( ISERROR(IND_chemie_ele_kWh/1000),0,IND_chemie_ele_kWh/1000)</f>
        <v>1338.1602134802699</v>
      </c>
      <c r="C36" s="39">
        <f>IF(ISERROR(B36*3.6/1000000/'E Balans VL '!Z24*100),0,B36*3.6/1000000/'E Balans VL '!Z24*100)</f>
        <v>1.2219517284607892E-2</v>
      </c>
      <c r="D36" s="233" t="s">
        <v>691</v>
      </c>
    </row>
    <row r="37" spans="1:5">
      <c r="A37" s="168" t="s">
        <v>265</v>
      </c>
      <c r="B37" s="37">
        <f>IF( ISERROR(IND_rest_ele_kWh/1000),0,IND_rest_ele_kWh/1000)</f>
        <v>3.8349460506E-3</v>
      </c>
      <c r="C37" s="39">
        <f>IF(ISERROR(B37*3.6/1000000/'E Balans VL '!Z15*100),0,B37*3.6/1000000/'E Balans VL '!Z15*100)</f>
        <v>1.4371572315361355E-8</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574.19040953859997</v>
      </c>
      <c r="C5" s="17">
        <f>'Eigen informatie GS &amp; warmtenet'!B62</f>
        <v>0</v>
      </c>
      <c r="D5" s="30">
        <f>IF(ISERROR(SUM(LB_lb_gas_kWh,LB_rest_gas_kWh)/1000),0,SUM(LB_lb_gas_kWh,LB_rest_gas_kWh)/1000)*0.903</f>
        <v>431.94932553244695</v>
      </c>
      <c r="E5" s="17">
        <f>B17*'E Balans VL '!I25/3.6*1000000/100</f>
        <v>21.413316694868492</v>
      </c>
      <c r="F5" s="17">
        <f>B17*('E Balans VL '!L25/3.6*1000000+'E Balans VL '!N25/3.6*1000000)/100</f>
        <v>1862.8955644511793</v>
      </c>
      <c r="G5" s="18"/>
      <c r="H5" s="17"/>
      <c r="I5" s="17"/>
      <c r="J5" s="17">
        <f>('E Balans VL '!D25+'E Balans VL '!E25)/3.6*1000000*landbouw!B17/100</f>
        <v>150.72781722861137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574.19040953859997</v>
      </c>
      <c r="C8" s="21">
        <f>C5+C6</f>
        <v>0</v>
      </c>
      <c r="D8" s="21">
        <f>MAX((D5+D6),0)</f>
        <v>431.94932553244695</v>
      </c>
      <c r="E8" s="21">
        <f>MAX((E5+E6),0)</f>
        <v>21.413316694868492</v>
      </c>
      <c r="F8" s="21">
        <f>MAX((F5+F6),0)</f>
        <v>1862.8955644511793</v>
      </c>
      <c r="G8" s="21"/>
      <c r="H8" s="21"/>
      <c r="I8" s="21"/>
      <c r="J8" s="21">
        <f>MAX((J5+J6),0)</f>
        <v>150.72781722861137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0.21545432495547134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123.71180708304469</v>
      </c>
      <c r="C12" s="23">
        <f ca="1">C8*C10</f>
        <v>0</v>
      </c>
      <c r="D12" s="23">
        <f>D8*D10</f>
        <v>87.253763757554296</v>
      </c>
      <c r="E12" s="23">
        <f>E8*E10</f>
        <v>4.8608228897351475</v>
      </c>
      <c r="F12" s="23">
        <f>F8*F10</f>
        <v>497.3931157084649</v>
      </c>
      <c r="G12" s="23"/>
      <c r="H12" s="23"/>
      <c r="I12" s="23"/>
      <c r="J12" s="23">
        <f>J8*J10</f>
        <v>53.35764729892842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7.8863554389714277E-2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1.3792986636200721</v>
      </c>
      <c r="C26" s="243">
        <f>B26*'GWP N2O_CH4'!B5</f>
        <v>28.965271936021516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9.8910984655073766E-2</v>
      </c>
      <c r="C27" s="243">
        <f>B27*'GWP N2O_CH4'!B5</f>
        <v>2.077130677756549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1.7865702041271248E-2</v>
      </c>
      <c r="C28" s="243">
        <f>B28*'GWP N2O_CH4'!B4</f>
        <v>5.5383676327940865</v>
      </c>
      <c r="D28" s="50"/>
    </row>
    <row r="29" spans="1:4">
      <c r="A29" s="41" t="s">
        <v>272</v>
      </c>
      <c r="B29" s="243">
        <f>B34*'ha_N2O bodem landbouw'!B4</f>
        <v>4.7412706002665548</v>
      </c>
      <c r="C29" s="243">
        <f>B29*'GWP N2O_CH4'!B4</f>
        <v>1469.7938860826321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1.0805491099776362E-3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3.8796451571323541E-3</v>
      </c>
      <c r="C5" s="434" t="s">
        <v>210</v>
      </c>
      <c r="D5" s="419">
        <f>SUM(D6:D11)</f>
        <v>5.8909228499170021E-3</v>
      </c>
      <c r="E5" s="419">
        <f>SUM(E6:E11)</f>
        <v>3.7713566523328319E-3</v>
      </c>
      <c r="F5" s="432" t="s">
        <v>210</v>
      </c>
      <c r="G5" s="419">
        <f>SUM(G6:G11)</f>
        <v>1.4718605974939853</v>
      </c>
      <c r="H5" s="419">
        <f>SUM(H6:H11)</f>
        <v>0.3707647830627015</v>
      </c>
      <c r="I5" s="434" t="s">
        <v>210</v>
      </c>
      <c r="J5" s="434" t="s">
        <v>210</v>
      </c>
      <c r="K5" s="434" t="s">
        <v>210</v>
      </c>
      <c r="L5" s="434" t="s">
        <v>210</v>
      </c>
      <c r="M5" s="419">
        <f>SUM(M6:M11)</f>
        <v>0.10864207174436658</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5.9950952899182151E-4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1.0417590644771835E-3</v>
      </c>
      <c r="E6" s="885">
        <f>vkm_GW_PW*SUMIFS(TableVerdeelsleutelVkm[LPG],TableVerdeelsleutelVkm[Voertuigtype],"Lichte voertuigen")*SUMIFS(TableECFTransport[EnergieConsumptieFactor (PJ per km)],TableECFTransport[Index],CONCATENATE($A6,"_LPG_LPG"))</f>
        <v>5.7928599700395858E-4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0.17408094991795459</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6.3470496297921675E-2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1.4213290190215475E-2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1.1206143202636193E-6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4.6379422718585424E-2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4.7182559960028117E-7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2.6112330023585996E-3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2.796970885107085E-4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6.2404396346635131E-4</v>
      </c>
      <c r="E8" s="422">
        <f>vkm_NGW_PW*SUMIFS(TableVerdeelsleutelVkm[LPG],TableVerdeelsleutelVkm[Voertuigtype],"Lichte voertuigen")*SUMIFS(TableECFTransport[EnergieConsumptieFactor (PJ per km)],TableECFTransport[Index],CONCATENATE($A8,"_LPG_LPG"))</f>
        <v>3.3236452187259568E-4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9.1918379422142912E-2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3.7555131173986726E-2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7.7858659854174719E-3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5.2375176181596063E-8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2.7914636177160412E-3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2.6617500788253165E-8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1.5716358150593196E-4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2.9896636293448987E-3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4.225119821973467E-3</v>
      </c>
      <c r="E10" s="422">
        <f>vkm_SW_PW*SUMIFS(TableVerdeelsleutelVkm[LPG],TableVerdeelsleutelVkm[Voertuigtype],"Lichte voertuigen")*SUMIFS(TableECFTransport[EnergieConsumptieFactor (PJ per km)],TableECFTransport[Index],CONCATENATE($A10,"_LPG_LPG"))</f>
        <v>2.8597061334562778E-3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0.78125873804932011</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0.26973449599271648</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6.2737114873242988E-2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9.6019207884802278E-6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0.37543164376826632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4.1611549761747474E-6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2.1137404111626113E-2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1077.6792103145428</v>
      </c>
      <c r="C14" s="21"/>
      <c r="D14" s="21">
        <f t="shared" ref="D14:M14" si="0">((D5)*10^9/3600)+D12</f>
        <v>1636.3674583102784</v>
      </c>
      <c r="E14" s="21">
        <f t="shared" si="0"/>
        <v>1047.5990700924533</v>
      </c>
      <c r="F14" s="21"/>
      <c r="G14" s="21">
        <f t="shared" si="0"/>
        <v>408850.16597055149</v>
      </c>
      <c r="H14" s="21">
        <f t="shared" si="0"/>
        <v>102990.21751741708</v>
      </c>
      <c r="I14" s="21"/>
      <c r="J14" s="21"/>
      <c r="K14" s="21"/>
      <c r="L14" s="21"/>
      <c r="M14" s="21">
        <f t="shared" si="0"/>
        <v>30178.353262324046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0.21545432495547134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232.19064677686526</v>
      </c>
      <c r="C18" s="23"/>
      <c r="D18" s="23">
        <f t="shared" ref="D18:M18" si="1">D14*D16</f>
        <v>330.54622657867623</v>
      </c>
      <c r="E18" s="23">
        <f t="shared" si="1"/>
        <v>237.80498891098691</v>
      </c>
      <c r="F18" s="23"/>
      <c r="G18" s="23">
        <f t="shared" si="1"/>
        <v>109162.99431413725</v>
      </c>
      <c r="H18" s="23">
        <f t="shared" si="1"/>
        <v>25644.564161836854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4.2882327730960214E-4</v>
      </c>
      <c r="C50" s="315">
        <f t="shared" ref="C50:P50" si="2">SUM(C51:C52)</f>
        <v>0</v>
      </c>
      <c r="D50" s="315">
        <f t="shared" si="2"/>
        <v>0</v>
      </c>
      <c r="E50" s="315">
        <f t="shared" si="2"/>
        <v>0</v>
      </c>
      <c r="F50" s="315">
        <f t="shared" si="2"/>
        <v>0</v>
      </c>
      <c r="G50" s="315">
        <f t="shared" si="2"/>
        <v>3.0608632468120265E-2</v>
      </c>
      <c r="H50" s="315">
        <f t="shared" si="2"/>
        <v>0</v>
      </c>
      <c r="I50" s="315">
        <f t="shared" si="2"/>
        <v>0</v>
      </c>
      <c r="J50" s="315">
        <f t="shared" si="2"/>
        <v>0</v>
      </c>
      <c r="K50" s="315">
        <f t="shared" si="2"/>
        <v>0</v>
      </c>
      <c r="L50" s="315">
        <f t="shared" si="2"/>
        <v>0</v>
      </c>
      <c r="M50" s="315">
        <f t="shared" si="2"/>
        <v>1.6901656444853622E-3</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4.2882327730960214E-4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3.0608632468120265E-2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1.6901656444853622E-3</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119.11757703044503</v>
      </c>
      <c r="C54" s="21">
        <f t="shared" ref="C54:P54" si="3">(C50)*10^9/3600</f>
        <v>0</v>
      </c>
      <c r="D54" s="21">
        <f t="shared" si="3"/>
        <v>0</v>
      </c>
      <c r="E54" s="21">
        <f t="shared" si="3"/>
        <v>0</v>
      </c>
      <c r="F54" s="21">
        <f t="shared" si="3"/>
        <v>0</v>
      </c>
      <c r="G54" s="21">
        <f t="shared" si="3"/>
        <v>8502.3979078111843</v>
      </c>
      <c r="H54" s="21">
        <f t="shared" si="3"/>
        <v>0</v>
      </c>
      <c r="I54" s="21">
        <f t="shared" si="3"/>
        <v>0</v>
      </c>
      <c r="J54" s="21">
        <f t="shared" si="3"/>
        <v>0</v>
      </c>
      <c r="K54" s="21">
        <f t="shared" si="3"/>
        <v>0</v>
      </c>
      <c r="L54" s="21">
        <f t="shared" si="3"/>
        <v>0</v>
      </c>
      <c r="M54" s="21">
        <f t="shared" si="3"/>
        <v>469.49045680148947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0.21545432495547134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25.664397149425895</v>
      </c>
      <c r="C58" s="23">
        <f t="shared" ref="C58:P58" ca="1" si="4">C54*C56</f>
        <v>0</v>
      </c>
      <c r="D58" s="23">
        <f t="shared" si="4"/>
        <v>0</v>
      </c>
      <c r="E58" s="23">
        <f t="shared" si="4"/>
        <v>0</v>
      </c>
      <c r="F58" s="23">
        <f t="shared" si="4"/>
        <v>0</v>
      </c>
      <c r="G58" s="23">
        <f t="shared" si="4"/>
        <v>2270.1402413855863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7135.948215795318</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801</v>
      </c>
      <c r="C8" s="544">
        <f>B48</f>
        <v>942.35294117647084</v>
      </c>
      <c r="D8" s="545"/>
      <c r="E8" s="545">
        <f>E48</f>
        <v>0</v>
      </c>
      <c r="F8" s="546"/>
      <c r="G8" s="547"/>
      <c r="H8" s="545">
        <f>I48</f>
        <v>0</v>
      </c>
      <c r="I8" s="545">
        <f>G48+F48</f>
        <v>0</v>
      </c>
      <c r="J8" s="545">
        <f>H48+D48+C48</f>
        <v>0</v>
      </c>
      <c r="K8" s="545"/>
      <c r="L8" s="545"/>
      <c r="M8" s="545"/>
      <c r="N8" s="548"/>
      <c r="O8" s="549">
        <f>C8*$C$12+D8*$D$12+E8*$E$12+F8*$F$12+G8*$G$12+H8*$H$12+I8*$I$12+J8*$J$12</f>
        <v>190.35529411764713</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7936.948215795318</v>
      </c>
      <c r="C10" s="559">
        <f t="shared" ref="C10:L10" si="0">SUM(C8:C9)</f>
        <v>942.35294117647084</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190.35529411764713</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1144.2857142857142</v>
      </c>
      <c r="C17" s="575">
        <f>B49</f>
        <v>1346.2184873949582</v>
      </c>
      <c r="D17" s="576"/>
      <c r="E17" s="576">
        <f>E49</f>
        <v>0</v>
      </c>
      <c r="F17" s="577"/>
      <c r="G17" s="578"/>
      <c r="H17" s="575">
        <f>I49</f>
        <v>0</v>
      </c>
      <c r="I17" s="576">
        <f>G49+F49</f>
        <v>0</v>
      </c>
      <c r="J17" s="576">
        <f>H49+D49+C49</f>
        <v>0</v>
      </c>
      <c r="K17" s="576"/>
      <c r="L17" s="576"/>
      <c r="M17" s="576"/>
      <c r="N17" s="961"/>
      <c r="O17" s="579">
        <f>C17*$C$22+E17*$E$22+H17*$H$22+I17*$I$22+J17*$J$22+D17*$D$22+F17*$F$22+G17*$G$22+K17*$K$22+L17*$L$22</f>
        <v>271.93613445378156</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1144.2857142857142</v>
      </c>
      <c r="C20" s="558">
        <f>SUM(C17:C19)</f>
        <v>1346.2184873949582</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271.93613445378156</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23094</v>
      </c>
      <c r="C28" s="786">
        <v>1932</v>
      </c>
      <c r="D28" s="636" t="s">
        <v>883</v>
      </c>
      <c r="E28" s="635" t="s">
        <v>884</v>
      </c>
      <c r="F28" s="635" t="s">
        <v>885</v>
      </c>
      <c r="G28" s="635" t="s">
        <v>886</v>
      </c>
      <c r="H28" s="635" t="s">
        <v>887</v>
      </c>
      <c r="I28" s="635" t="s">
        <v>888</v>
      </c>
      <c r="J28" s="785">
        <v>40584</v>
      </c>
      <c r="K28" s="785">
        <v>40756</v>
      </c>
      <c r="L28" s="635" t="s">
        <v>889</v>
      </c>
      <c r="M28" s="635">
        <v>178</v>
      </c>
      <c r="N28" s="635">
        <v>801</v>
      </c>
      <c r="O28" s="635">
        <v>1144.2857142857142</v>
      </c>
      <c r="P28" s="635">
        <v>2288.5714285714289</v>
      </c>
      <c r="Q28" s="635">
        <v>0</v>
      </c>
      <c r="R28" s="635">
        <v>0</v>
      </c>
      <c r="S28" s="635">
        <v>0</v>
      </c>
      <c r="T28" s="635">
        <v>0</v>
      </c>
      <c r="U28" s="635">
        <v>0</v>
      </c>
      <c r="V28" s="635">
        <v>0</v>
      </c>
      <c r="W28" s="635">
        <v>0</v>
      </c>
      <c r="X28" s="635">
        <v>1100</v>
      </c>
      <c r="Y28" s="635" t="s">
        <v>51</v>
      </c>
      <c r="Z28" s="637" t="s">
        <v>155</v>
      </c>
    </row>
    <row r="29" spans="1:26" s="569" customFormat="1">
      <c r="A29" s="591" t="s">
        <v>275</v>
      </c>
      <c r="B29" s="592"/>
      <c r="C29" s="592"/>
      <c r="D29" s="592"/>
      <c r="E29" s="592"/>
      <c r="F29" s="592"/>
      <c r="G29" s="592"/>
      <c r="H29" s="592"/>
      <c r="I29" s="592"/>
      <c r="J29" s="592"/>
      <c r="K29" s="592"/>
      <c r="L29" s="593"/>
      <c r="M29" s="593">
        <f>SUM(M28:M28)</f>
        <v>178</v>
      </c>
      <c r="N29" s="593">
        <f>SUM(N28:N28)</f>
        <v>801</v>
      </c>
      <c r="O29" s="593">
        <f>SUM(O28:O28)</f>
        <v>1144.2857142857142</v>
      </c>
      <c r="P29" s="593">
        <f>SUM(P28:P28)</f>
        <v>2288.5714285714289</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178</v>
      </c>
      <c r="N31" s="593">
        <f ca="1">SUMIF($Z$28:AD28,"tertiair",N28:N28)</f>
        <v>801</v>
      </c>
      <c r="O31" s="593">
        <f ca="1">SUMIF($Z$28:AE28,"tertiair",O28:O28)</f>
        <v>1144.2857142857142</v>
      </c>
      <c r="P31" s="593">
        <f ca="1">SUMIF($Z$28:AF28,"tertiair",P28:P28)</f>
        <v>2288.5714285714289</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0.41176470588235298</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942.35294117647084</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1346.2184873949582</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2021-06-29T14:27:57Z</dcterms:modified>
</cp:coreProperties>
</file>