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2" i="13"/>
  <c r="B35" i="13"/>
  <c r="B34"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D41" i="14" s="1"/>
  <c r="D46" i="14" s="1"/>
  <c r="D61" i="14" s="1"/>
  <c r="D63" i="14" s="1"/>
  <c r="C29" i="20"/>
  <c r="C56" i="22"/>
  <c r="C58" i="22" s="1"/>
  <c r="D49" i="14" s="1"/>
  <c r="D52" i="14" s="1"/>
  <c r="C20" i="16"/>
  <c r="C22" i="16" s="1"/>
  <c r="D43" i="14" s="1"/>
  <c r="C10" i="17"/>
  <c r="C12" i="17" s="1"/>
  <c r="D54" i="14" s="1"/>
  <c r="D56"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<sst xmlns="http://schemas.openxmlformats.org/spreadsheetml/2006/main" count="2466" uniqueCount="893">
  <si>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</si>
  <si>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</si>
  <si>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</si>
  <si>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</si>
  <si>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</si>
  <si>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</si>
  <si>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</si>
  <si>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</si>
  <si>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</si>
  <si>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</si>
  <si>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</si>
  <si>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</si>
  <si>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</si>
  <si>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</si>
  <si>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</si>
  <si>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</si>
  <si>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</si>
  <si>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</si>
  <si>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</si>
  <si>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</si>
  <si>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</si>
  <si>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</si>
  <si>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</si>
  <si>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</si>
  <si>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</si>
  <si>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</si>
  <si>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</si>
  <si>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</si>
  <si>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</si>
  <si>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</si>
  <si>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</si>
  <si>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</si>
  <si>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</si>
  <si>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</si>
  <si>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</si>
  <si>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</si>
  <si>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</si>
  <si>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</si>
  <si>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</si>
  <si>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</si>
  <si>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</si>
  <si>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</si>
  <si>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</si>
  <si>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</si>
  <si>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</si>
  <si>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</si>
  <si>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</si>
  <si>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</si>
  <si>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</si>
  <si>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</si>
  <si>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</si>
  <si>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</si>
  <si>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</si>
  <si>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</si>
  <si>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</si>
  <si>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</si>
  <si>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</si>
  <si>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</si>
  <si>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</si>
  <si>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</si>
  <si>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</si>
  <si>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</si>
  <si>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</si>
  <si>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</si>
  <si>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</si>
  <si>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</si>
  <si>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</si>
  <si>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</si>
  <si>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</si>
  <si>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</si>
  <si>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</si>
  <si>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</si>
  <si>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</si>
  <si>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</si>
  <si>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</si>
  <si>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</si>
  <si>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</si>
  <si>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</si>
  <si>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</si>
  <si>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</si>
  <si>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</si>
  <si>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</si>
  <si>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</si>
  <si>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</si>
  <si>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</si>
  <si>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</si>
  <si>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</si>
  <si>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</si>
  <si>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</si>
  <si>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</si>
  <si>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</si>
  <si>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</si>
  <si>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</si>
  <si>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</si>
  <si>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</si>
  <si>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</si>
  <si>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</si>
  <si>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</si>
  <si>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</si>
  <si>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</si>
  <si>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</si>
  <si>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</si>
  <si>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</si>
  <si>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</si>
  <si>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</si>
  <si>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</si>
  <si>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</si>
  <si>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</si>
  <si>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</si>
  <si>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</si>
  <si>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</si>
  <si>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</si>
  <si>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</si>
  <si>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</si>
  <si>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</si>
  <si>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</si>
  <si>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</si>
  <si>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</si>
  <si>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</si>
  <si>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</si>
  <si>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</si>
  <si>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</si>
  <si>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</si>
  <si>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</si>
  <si>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</si>
  <si>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</si>
  <si>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</si>
  <si>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</si>
  <si>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</si>
  <si>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</si>
  <si>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</si>
  <si>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</si>
  <si>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</si>
  <si>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</si>
  <si>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</si>
  <si>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</si>
  <si>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</si>
  <si>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</si>
  <si>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</si>
  <si>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</si>
  <si>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</si>
  <si>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</si>
  <si>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</si>
  <si>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</si>
  <si>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</si>
  <si>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</si>
  <si>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</si>
  <si>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</si>
  <si>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</si>
  <si>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</si>
  <si>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</si>
  <si>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</si>
  <si>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</si>
  <si>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</si>
  <si>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</si>
  <si>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</si>
  <si>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</si>
  <si>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</si>
  <si>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</si>
  <si>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</si>
  <si>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</si>
  <si>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</si>
  <si>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</si>
  <si>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</si>
  <si>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</si>
  <si>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</si>
  <si>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</si>
  <si>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</si>
  <si>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</si>
  <si>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</si>
  <si>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</si>
  <si>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</si>
  <si>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</si>
  <si>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</si>
  <si>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</si>
  <si>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</si>
  <si>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</si>
  <si>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</si>
  <si>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</si>
  <si>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</si>
  <si>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</si>
  <si>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</si>
  <si>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</si>
  <si>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</si>
  <si>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</si>
  <si>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</si>
  <si>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</si>
  <si>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</si>
  <si>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</si>
  <si>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</si>
  <si>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</si>
  <si>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</si>
  <si>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</si>
  <si>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</si>
  <si>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</si>
  <si>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</si>
  <si>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</si>
  <si>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</si>
  <si>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</si>
  <si>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</si>
  <si>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</si>
  <si>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</si>
  <si>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</si>
  <si>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</si>
  <si>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</si>
  <si>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</si>
  <si>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</si>
  <si>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</si>
  <si>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</si>
  <si>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</si>
  <si>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</si>
  <si>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</si>
  <si>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</si>
  <si>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</si>
  <si>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</si>
  <si>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</si>
  <si>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</si>
  <si>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</si>
  <si>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</si>
  <si>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</si>
  <si>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</si>
  <si>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</si>
  <si>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</si>
  <si>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</si>
  <si>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</si>
  <si>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</si>
  <si>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</si>
  <si>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</si>
  <si>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</si>
  <si>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</si>
  <si>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</si>
  <si>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</si>
  <si>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</si>
  <si>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</si>
  <si>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</si>
  <si>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</si>
  <si>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</si>
  <si>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</si>
  <si>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</si>
  <si>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</si>
  <si>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</si>
  <si>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</si>
  <si>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</si>
  <si>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</si>
  <si>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</si>
  <si>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</si>
  <si>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</si>
  <si>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</si>
  <si>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</si>
  <si>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</si>
  <si>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</si>
  <si>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</si>
  <si>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</si>
  <si>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</si>
  <si>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</si>
  <si>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</si>
  <si>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</si>
  <si>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</si>
  <si>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</si>
  <si>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</si>
  <si>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</si>
  <si>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</si>
  <si>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</si>
  <si>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</si>
  <si>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</si>
  <si>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</si>
  <si>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</si>
  <si>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</si>
  <si>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</si>
  <si>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</si>
  <si>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</si>
  <si>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</si>
  <si>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</si>
  <si>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</si>
  <si>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</si>
  <si>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</si>
  <si>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</si>
  <si>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</si>
  <si>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</si>
  <si>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</si>
  <si>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</si>
  <si>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</si>
  <si>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</si>
  <si>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</si>
  <si>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</si>
  <si>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</si>
  <si>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</si>
  <si>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</si>
  <si>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</si>
  <si>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</si>
  <si>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</si>
  <si>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</si>
  <si>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</si>
  <si>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</si>
  <si>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</si>
  <si>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</si>
  <si>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</si>
  <si>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</si>
  <si>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</si>
  <si>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</si>
  <si>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</si>
  <si>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</si>
  <si>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</si>
  <si>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</si>
  <si>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</si>
  <si>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</si>
  <si>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</si>
  <si>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</si>
  <si>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</si>
  <si>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</si>
  <si>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</si>
  <si>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</si>
  <si>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</si>
  <si>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</si>
  <si>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</si>
  <si>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</si>
  <si>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</si>
  <si>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</si>
  <si>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</si>
  <si>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</si>
  <si>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</si>
  <si>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</si>
  <si>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</si>
  <si>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</si>
  <si>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</si>
  <si>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</si>
  <si>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</si>
  <si>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</si>
  <si>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</si>
  <si>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</si>
  <si>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</si>
  <si>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</si>
  <si>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</si>
  <si>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</si>
  <si>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</si>
  <si>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</si>
  <si>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</si>
  <si>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</si>
  <si>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</si>
  <si>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</si>
  <si>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</si>
  <si>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</si>
  <si>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</si>
  <si>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</si>
  <si>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</si>
  <si>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</si>
  <si>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</si>
  <si>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</si>
  <si>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</si>
  <si>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</si>
  <si>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</si>
  <si>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</si>
  <si>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</si>
  <si>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</si>
  <si>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</si>
  <si>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</si>
  <si>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</si>
  <si>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</si>
  <si>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</si>
  <si>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</si>
  <si>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</si>
  <si>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</si>
  <si>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</si>
  <si>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</si>
  <si>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</si>
  <si>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</si>
  <si>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</si>
  <si>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</si>
  <si>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</si>
  <si>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</si>
  <si>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</si>
  <si>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</si>
  <si>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</si>
  <si>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</si>
  <si>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</si>
  <si>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</si>
  <si>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</si>
  <si>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</si>
  <si>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</si>
  <si>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</si>
  <si>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</si>
  <si>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</si>
  <si>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</si>
  <si>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</si>
  <si>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</si>
  <si>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</si>
  <si>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</si>
  <si>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</si>
  <si>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</si>
  <si>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</si>
  <si>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</si>
  <si>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</si>
  <si>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</si>
  <si>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</si>
  <si>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</si>
  <si>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</si>
  <si>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</si>
  <si>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</si>
  <si>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</si>
  <si>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</si>
  <si>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</si>
  <si>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</si>
  <si>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</si>
  <si>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</si>
  <si>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</si>
  <si>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</si>
  <si>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</si>
  <si>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</si>
  <si>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</si>
  <si>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</si>
  <si>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</si>
  <si>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</si>
  <si>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</si>
  <si>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</si>
  <si>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</si>
  <si>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</si>
  <si>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</si>
  <si>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</si>
  <si>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</si>
  <si>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</si>
  <si>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</si>
  <si>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</si>
  <si>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</si>
  <si>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</si>
  <si>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</si>
  <si>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</si>
  <si>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</si>
  <si>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</si>
  <si>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</si>
  <si>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</si>
  <si>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</si>
  <si>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</si>
  <si>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</si>
  <si>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</si>
  <si>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</si>
  <si>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</si>
  <si>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</si>
  <si>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</si>
  <si>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</si>
  <si>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</si>
  <si>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</si>
  <si>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</si>
  <si>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</si>
  <si>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</si>
  <si>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</si>
  <si>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</si>
  <si>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</si>
  <si>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</si>
  <si>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</si>
  <si>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</si>
  <si>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</si>
  <si>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</si>
  <si>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</si>
  <si>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</si>
  <si>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</si>
  <si>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</si>
  <si>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</si>
  <si>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</si>
  <si>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</si>
  <si>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</si>
  <si>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</si>
  <si>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</si>
  <si>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</si>
  <si>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</si>
  <si>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</si>
  <si>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</si>
  <si>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</si>
  <si>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</si>
  <si>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</si>
  <si>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</si>
  <si>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</si>
  <si>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</si>
  <si>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</si>
  <si>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</si>
  <si>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</si>
  <si>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</si>
  <si>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</si>
  <si>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</si>
  <si>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</si>
  <si>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</si>
  <si>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</si>
  <si>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</si>
  <si>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</si>
  <si>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</si>
  <si>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</si>
  <si>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</si>
  <si>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</si>
  <si>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</si>
  <si>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</si>
  <si>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</si>
  <si>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</si>
  <si>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</si>
  <si>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</si>
  <si>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</si>
  <si>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</si>
  <si>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</si>
  <si>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</si>
  <si>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</si>
  <si>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</si>
  <si>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</si>
  <si>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</si>
  <si>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</si>
  <si>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</si>
  <si>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</si>
  <si>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</si>
  <si>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</si>
  <si>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</si>
  <si>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</si>
  <si>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</si>
  <si>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</si>
  <si>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</si>
  <si>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</si>
  <si>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</si>
  <si>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</si>
  <si>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</si>
  <si>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</si>
  <si>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</si>
  <si>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</si>
  <si>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</si>
  <si>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</si>
  <si>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</si>
  <si>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</si>
  <si>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</si>
  <si>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</si>
  <si>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</si>
  <si>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</si>
  <si>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</si>
  <si>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</si>
  <si>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</si>
  <si>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</si>
  <si>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</si>
  <si>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</si>
  <si>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</si>
  <si>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</si>
  <si>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</si>
  <si>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</si>
  <si>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</si>
  <si>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</si>
  <si>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</si>
  <si>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</si>
  <si>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</si>
  <si>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</si>
  <si>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</si>
  <si>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</si>
  <si>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</si>
  <si>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</si>
  <si>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</si>
  <si>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</si>
  <si>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</si>
  <si>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</si>
  <si>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</si>
  <si>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</si>
  <si>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</si>
  <si>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</si>
  <si>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</si>
  <si>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</si>
  <si>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</si>
  <si>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</si>
  <si>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</si>
  <si>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</si>
  <si>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</si>
  <si>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</si>
  <si>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</si>
  <si>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</si>
  <si>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</si>
  <si>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</si>
  <si>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</si>
  <si>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</si>
  <si>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</si>
  <si>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</si>
  <si>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</si>
  <si>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</si>
  <si>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</si>
  <si>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</si>
  <si>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</si>
  <si>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</si>
  <si>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</si>
  <si>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</si>
  <si>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</si>
  <si>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</si>
  <si>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</si>
  <si>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</si>
  <si>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</si>
  <si>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</si>
  <si>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</si>
  <si>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</si>
  <si>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</si>
  <si>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</si>
  <si>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</si>
  <si>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</si>
  <si>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</si>
  <si>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</si>
  <si>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</si>
  <si>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</si>
  <si>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</si>
  <si>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</si>
  <si>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</si>
  <si>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</si>
  <si>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</si>
  <si>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</si>
  <si>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</si>
  <si>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</si>
  <si>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</si>
  <si>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</si>
  <si>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</si>
  <si>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</si>
  <si>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</si>
  <si>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</si>
  <si>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</si>
  <si>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</si>
  <si>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</si>
  <si>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</si>
  <si>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</si>
  <si>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</si>
  <si>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</si>
  <si>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</si>
  <si>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</si>
  <si>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</si>
  <si>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</si>
  <si>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</si>
  <si>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</si>
  <si>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</si>
  <si>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</si>
  <si>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</si>
  <si>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</si>
  <si>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</si>
  <si>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</si>
  <si>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</si>
  <si>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</si>
  <si>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</si>
  <si>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</si>
  <si>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</si>
  <si>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</si>
  <si>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</si>
  <si>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</si>
  <si>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</si>
  <si>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</si>
  <si>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</si>
  <si>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</si>
  <si>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</si>
  <si>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</si>
  <si>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</si>
  <si>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</si>
  <si>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</si>
  <si>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</si>
  <si>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</si>
  <si>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</si>
  <si>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</si>
  <si>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</si>
  <si>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</si>
  <si>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</si>
  <si>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</si>
  <si>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</si>
  <si>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</si>
  <si>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</si>
  <si>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</si>
  <si>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</si>
  <si>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</si>
  <si>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</si>
  <si>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</si>
  <si>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</si>
  <si>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</si>
  <si>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</si>
  <si>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</si>
  <si>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</si>
  <si>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</si>
  <si>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</si>
  <si>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</si>
  <si>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</si>
  <si>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</si>
  <si>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</si>
  <si>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</si>
  <si>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</si>
  <si>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</si>
  <si>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</si>
  <si>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</si>
  <si>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</si>
  <si>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</si>
  <si>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</si>
  <si>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</si>
  <si>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</si>
  <si>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</si>
  <si>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</si>
  <si>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</si>
  <si>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</si>
  <si>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</si>
  <si>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</si>
  <si>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</si>
  <si>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</si>
  <si>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</si>
  <si>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</si>
  <si>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</si>
  <si>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</si>
  <si>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</si>
  <si>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</si>
  <si>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</si>
  <si>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</si>
  <si>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</si>
  <si>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</si>
  <si>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</si>
  <si>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</si>
  <si>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</si>
  <si>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</si>
  <si>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</si>
  <si>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</si>
  <si>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</si>
  <si>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</si>
  <si>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</si>
  <si>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</si>
  <si>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</si>
  <si>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</si>
  <si>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</si>
  <si>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</si>
  <si>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</si>
  <si>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</si>
  <si>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</si>
  <si>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</si>
  <si>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</si>
  <si>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</si>
  <si>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</si>
  <si>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</si>
  <si>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</si>
  <si>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</si>
  <si>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</si>
  <si>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</si>
  <si>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</si>
  <si>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</si>
  <si>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</si>
  <si>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</si>
  <si>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</si>
  <si>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</si>
  <si>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</si>
  <si>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</si>
  <si>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</si>
  <si>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</si>
  <si>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</si>
  <si>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</si>
  <si>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</si>
  <si>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</si>
  <si>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</si>
  <si>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</si>
  <si>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</si>
  <si>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</si>
  <si>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</si>
  <si>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</si>
  <si>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</si>
  <si>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</si>
  <si>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</si>
  <si>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</si>
  <si>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</si>
  <si>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</si>
  <si>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</si>
  <si>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</si>
  <si>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</si>
  <si>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</si>
  <si>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</si>
  <si>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</si>
  <si>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</si>
  <si>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</si>
  <si>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</si>
  <si>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</si>
  <si>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</si>
  <si>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</si>
  <si>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</si>
  <si>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</si>
  <si>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</si>
  <si>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</si>
  <si>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</si>
  <si>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</si>
  <si>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</si>
  <si>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</si>
  <si>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</si>
  <si>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</si>
  <si>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</si>
  <si>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</si>
  <si>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</si>
  <si>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</si>
  <si>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</si>
  <si>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</si>
  <si>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</si>
  <si>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</si>
  <si>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</si>
  <si>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</si>
  <si>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</si>
  <si>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</si>
  <si>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</si>
  <si>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</si>
  <si>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</si>
  <si>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</si>
  <si>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</si>
  <si>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</si>
  <si>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</si>
  <si>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</si>
  <si>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</si>
  <si>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</si>
  <si>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</si>
  <si>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</si>
  <si>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</si>
  <si>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</si>
  <si>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</si>
  <si>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</si>
  <si>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</si>
  <si>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</si>
  <si>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</si>
  <si>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</si>
  <si>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</si>
  <si>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</si>
  <si>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</si>
  <si>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</si>
  <si>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</si>
  <si>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</si>
  <si>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</si>
  <si>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</si>
  <si>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</si>
  <si>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</si>
  <si>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</si>
  <si>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</si>
  <si>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</si>
  <si>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</si>
  <si>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</si>
  <si>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</si>
  <si>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</si>
  <si>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</si>
  <si>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</si>
  <si>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</si>
  <si>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</si>
  <si>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</si>
  <si>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</si>
  <si>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</si>
  <si>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</si>
  <si>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</si>
  <si>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</si>
  <si>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</si>
  <si>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</si>
  <si>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</si>
  <si>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</si>
  <si>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</si>
  <si>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</si>
  <si>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</si>
  <si>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</si>
  <si>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</si>
  <si>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</si>
  <si>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</si>
  <si>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</si>
  <si>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</si>
  <si>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</si>
  <si>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</si>
  <si>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</si>
  <si>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</si>
  <si>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</si>
  <si>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</si>
  <si>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</si>
  <si>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</si>
  <si>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</si>
  <si>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</si>
  <si>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</si>
  <si>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</si>
  <si>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</si>
  <si>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</si>
  <si>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</si>
  <si>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</si>
  <si>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</si>
  <si>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</si>
  <si>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</si>
  <si>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</si>
  <si>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</si>
  <si>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</si>
  <si>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</si>
  <si>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</si>
  <si>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</si>
  <si>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</si>
  <si>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</si>
  <si>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</si>
  <si>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</si>
  <si>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</si>
  <si>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</si>
  <si>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</si>
  <si>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</si>
  <si>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</si>
  <si>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23060</t>
  </si>
  <si>
    <t>OPWIJK</t>
  </si>
  <si>
    <t>referentietaak LNE (2017); Jaarverslag De Lijn</t>
  </si>
  <si>
    <t>waterkracht</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</si>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</sst>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118720.2943253835</c:v>
                </c:pt>
                <c:pt idx="1">
                  <c:v>19132.223000063612</c:v>
                </c:pt>
                <c:pt idx="2">
                  <c:v>858.56200000000001</c:v>
                </c:pt>
                <c:pt idx="3">
                  <c:v>7501.5754652501164</c:v>
                </c:pt>
                <c:pt idx="4">
                  <c:v>17077.156689837953</c:v>
                </c:pt>
                <c:pt idx="5">
                  <c:v>61176.306348302634</c:v>
                </c:pt>
                <c:pt idx="6">
                  <c:v>599.96805835066243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118720.2943253835</c:v>
                </c:pt>
                <c:pt idx="1">
                  <c:v>19132.223000063612</c:v>
                </c:pt>
                <c:pt idx="2">
                  <c:v>858.56200000000001</c:v>
                </c:pt>
                <c:pt idx="3">
                  <c:v>7501.5754652501164</c:v>
                </c:pt>
                <c:pt idx="4">
                  <c:v>17077.156689837953</c:v>
                </c:pt>
                <c:pt idx="5">
                  <c:v>61176.306348302634</c:v>
                </c:pt>
                <c:pt idx="6">
                  <c:v>599.96805835066243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23792.901164352836</c:v>
                </c:pt>
                <c:pt idx="1">
                  <c:v>3659.5709424810448</c:v>
                </c:pt>
                <c:pt idx="2">
                  <c:v>152.93420970015163</c:v>
                </c:pt>
                <c:pt idx="3">
                  <c:v>816.15474264081627</c:v>
                </c:pt>
                <c:pt idx="4">
                  <c:v>3302.2092063704131</c:v>
                </c:pt>
                <c:pt idx="5">
                  <c:v>15198.717772030892</c:v>
                </c:pt>
                <c:pt idx="6">
                  <c:v>151.21999616619775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23792.901164352836</c:v>
                </c:pt>
                <c:pt idx="1">
                  <c:v>3659.5709424810448</c:v>
                </c:pt>
                <c:pt idx="2">
                  <c:v>152.93420970015163</c:v>
                </c:pt>
                <c:pt idx="3">
                  <c:v>816.15474264081627</c:v>
                </c:pt>
                <c:pt idx="4">
                  <c:v>3302.2092063704131</c:v>
                </c:pt>
                <c:pt idx="5">
                  <c:v>15198.717772030892</c:v>
                </c:pt>
                <c:pt idx="6">
                  <c:v>151.21999616619775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23060</v>
      </c>
      <c r="B6" s="386"/>
      <c r="C6" s="387"/>
    </row>
    <row r="7" spans="1:7" s="384" customFormat="1" ht="15.75" customHeight="1">
      <c r="A7" s="388" t="str">
        <f>txtMunicipality</f>
        <v>OPWIJK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9351.0899170863668</v>
      </c>
      <c r="D10" s="682">
        <f ca="1">tertiair!C16</f>
        <v>0</v>
      </c>
      <c r="E10" s="682">
        <f ca="1">tertiair!D16</f>
        <v>9010.3942460225044</v>
      </c>
      <c r="F10" s="682">
        <f>tertiair!E16</f>
        <v>27.014170211969265</v>
      </c>
      <c r="G10" s="682">
        <f ca="1">tertiair!F16</f>
        <v>1200.66118633266</v>
      </c>
      <c r="H10" s="682">
        <f>tertiair!G16</f>
        <v>0</v>
      </c>
      <c r="I10" s="682">
        <f>tertiair!H16</f>
        <v>0</v>
      </c>
      <c r="J10" s="682">
        <f>tertiair!I16</f>
        <v>0</v>
      </c>
      <c r="K10" s="682">
        <f>tertiair!J16</f>
        <v>7.8843408799016343E-3</v>
      </c>
      <c r="L10" s="682">
        <f>tertiair!K16</f>
        <v>0</v>
      </c>
      <c r="M10" s="682">
        <f ca="1">tertiair!L16</f>
        <v>0</v>
      </c>
      <c r="N10" s="682">
        <f>tertiair!M16</f>
        <v>0</v>
      </c>
      <c r="O10" s="682">
        <f ca="1">tertiair!N16</f>
        <v>291.64205869039938</v>
      </c>
      <c r="P10" s="682">
        <f>tertiair!O16</f>
        <v>4.8972607658411542</v>
      </c>
      <c r="Q10" s="683">
        <f>tertiair!P16</f>
        <v>105.07827661299004</v>
      </c>
      <c r="R10" s="685">
        <f ca="1">SUM(C10:Q10)</f>
        <v>19990.78500006361</v>
      </c>
      <c r="S10" s="67"/>
    </row>
    <row r="11" spans="1:19" s="445" customFormat="1">
      <c r="A11" s="803" t="s">
        <v>220</v>
      </c>
      <c r="B11" s="808"/>
      <c r="C11" s="682">
        <f>huishoudens!B8</f>
        <v>27187.440952598299</v>
      </c>
      <c r="D11" s="682">
        <f>huishoudens!C8</f>
        <v>0</v>
      </c>
      <c r="E11" s="682">
        <f>huishoudens!D8</f>
        <v>45927.931666379947</v>
      </c>
      <c r="F11" s="682">
        <f>huishoudens!E8</f>
        <v>1527.6155453244432</v>
      </c>
      <c r="G11" s="682">
        <f>huishoudens!F8</f>
        <v>34698.077107726182</v>
      </c>
      <c r="H11" s="682">
        <f>huishoudens!G8</f>
        <v>0</v>
      </c>
      <c r="I11" s="682">
        <f>huishoudens!H8</f>
        <v>0</v>
      </c>
      <c r="J11" s="682">
        <f>huishoudens!I8</f>
        <v>0</v>
      </c>
      <c r="K11" s="682">
        <f>huishoudens!J8</f>
        <v>173.58862553219916</v>
      </c>
      <c r="L11" s="682">
        <f>huishoudens!K8</f>
        <v>0</v>
      </c>
      <c r="M11" s="682">
        <f>huishoudens!L8</f>
        <v>0</v>
      </c>
      <c r="N11" s="682">
        <f>huishoudens!M8</f>
        <v>0</v>
      </c>
      <c r="O11" s="682">
        <f>huishoudens!N8</f>
        <v>8092.4911971602323</v>
      </c>
      <c r="P11" s="682">
        <f>huishoudens!O8</f>
        <v>259.8985267397012</v>
      </c>
      <c r="Q11" s="683">
        <f>huishoudens!P8</f>
        <v>853.25070392248676</v>
      </c>
      <c r="R11" s="685">
        <f>SUM(C11:Q11)</f>
        <v>118720.2943253835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6973.2754954276998</v>
      </c>
      <c r="D13" s="682">
        <f>industrie!C18</f>
        <v>0</v>
      </c>
      <c r="E13" s="682">
        <f>industrie!D18</f>
        <v>8438.721572467668</v>
      </c>
      <c r="F13" s="682">
        <f>industrie!E18</f>
        <v>16.098912926787495</v>
      </c>
      <c r="G13" s="682">
        <f>industrie!F18</f>
        <v>1317.2555752058522</v>
      </c>
      <c r="H13" s="682">
        <f>industrie!G18</f>
        <v>0</v>
      </c>
      <c r="I13" s="682">
        <f>industrie!H18</f>
        <v>0</v>
      </c>
      <c r="J13" s="682">
        <f>industrie!I18</f>
        <v>0</v>
      </c>
      <c r="K13" s="682">
        <f>industrie!J18</f>
        <v>0.24825835117042616</v>
      </c>
      <c r="L13" s="682">
        <f>industrie!K18</f>
        <v>0</v>
      </c>
      <c r="M13" s="682">
        <f>industrie!L18</f>
        <v>0</v>
      </c>
      <c r="N13" s="682">
        <f>industrie!M18</f>
        <v>0</v>
      </c>
      <c r="O13" s="682">
        <f>industrie!N18</f>
        <v>331.55687545877697</v>
      </c>
      <c r="P13" s="682">
        <f>industrie!O18</f>
        <v>0</v>
      </c>
      <c r="Q13" s="683">
        <f>industrie!P18</f>
        <v>0</v>
      </c>
      <c r="R13" s="685">
        <f>SUM(C13:Q13)</f>
        <v>17077.156689837953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43511.806365112359</v>
      </c>
      <c r="D16" s="718">
        <f t="shared" ref="D16:R16" ca="1" si="0">SUM(D9:D15)</f>
        <v>0</v>
      </c>
      <c r="E16" s="718">
        <f t="shared" ca="1" si="0"/>
        <v>63377.047484870112</v>
      </c>
      <c r="F16" s="718">
        <f t="shared" si="0"/>
        <v>1570.7286284632</v>
      </c>
      <c r="G16" s="718">
        <f t="shared" ca="1" si="0"/>
        <v>37215.993869264697</v>
      </c>
      <c r="H16" s="718">
        <f t="shared" si="0"/>
        <v>0</v>
      </c>
      <c r="I16" s="718">
        <f t="shared" si="0"/>
        <v>0</v>
      </c>
      <c r="J16" s="718">
        <f t="shared" si="0"/>
        <v>0</v>
      </c>
      <c r="K16" s="718">
        <f t="shared" si="0"/>
        <v>173.84476822424949</v>
      </c>
      <c r="L16" s="718">
        <f t="shared" si="0"/>
        <v>0</v>
      </c>
      <c r="M16" s="718">
        <f t="shared" ca="1" si="0"/>
        <v>0</v>
      </c>
      <c r="N16" s="718">
        <f t="shared" si="0"/>
        <v>0</v>
      </c>
      <c r="O16" s="718">
        <f t="shared" ca="1" si="0"/>
        <v>8715.6901313094077</v>
      </c>
      <c r="P16" s="718">
        <f t="shared" si="0"/>
        <v>264.79578750554236</v>
      </c>
      <c r="Q16" s="718">
        <f t="shared" si="0"/>
        <v>958.32898053547683</v>
      </c>
      <c r="R16" s="718">
        <f t="shared" ca="1" si="0"/>
        <v>155788.23601528505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7.8612578041583152</v>
      </c>
      <c r="D19" s="682">
        <f>transport!C54</f>
        <v>0</v>
      </c>
      <c r="E19" s="682">
        <f>transport!D54</f>
        <v>0</v>
      </c>
      <c r="F19" s="682">
        <f>transport!E54</f>
        <v>0</v>
      </c>
      <c r="G19" s="682">
        <f>transport!F54</f>
        <v>0</v>
      </c>
      <c r="H19" s="682">
        <f>transport!G54</f>
        <v>561.12241008526064</v>
      </c>
      <c r="I19" s="682">
        <f>transport!H54</f>
        <v>0</v>
      </c>
      <c r="J19" s="682">
        <f>transport!I54</f>
        <v>0</v>
      </c>
      <c r="K19" s="682">
        <f>transport!J54</f>
        <v>0</v>
      </c>
      <c r="L19" s="682">
        <f>transport!K54</f>
        <v>0</v>
      </c>
      <c r="M19" s="682">
        <f>transport!L54</f>
        <v>0</v>
      </c>
      <c r="N19" s="682">
        <f>transport!M54</f>
        <v>30.984390461243517</v>
      </c>
      <c r="O19" s="682">
        <f>transport!N54</f>
        <v>0</v>
      </c>
      <c r="P19" s="682">
        <f>transport!O54</f>
        <v>0</v>
      </c>
      <c r="Q19" s="683">
        <f>transport!P54</f>
        <v>0</v>
      </c>
      <c r="R19" s="685">
        <f>SUM(C19:Q19)</f>
        <v>599.96805835066243</v>
      </c>
      <c r="S19" s="67"/>
    </row>
    <row r="20" spans="1:19" s="445" customFormat="1">
      <c r="A20" s="803" t="s">
        <v>302</v>
      </c>
      <c r="B20" s="808"/>
      <c r="C20" s="682">
        <f>transport!B14</f>
        <v>98.322856394073227</v>
      </c>
      <c r="D20" s="682">
        <f>transport!C14</f>
        <v>0</v>
      </c>
      <c r="E20" s="682">
        <f>transport!D14</f>
        <v>189.5908813182503</v>
      </c>
      <c r="F20" s="682">
        <f>transport!E14</f>
        <v>103.37077571484598</v>
      </c>
      <c r="G20" s="682">
        <f>transport!F14</f>
        <v>0</v>
      </c>
      <c r="H20" s="682">
        <f>transport!G14</f>
        <v>45915.526631975728</v>
      </c>
      <c r="I20" s="682">
        <f>transport!H14</f>
        <v>11485.925910065827</v>
      </c>
      <c r="J20" s="682">
        <f>transport!I14</f>
        <v>0</v>
      </c>
      <c r="K20" s="682">
        <f>transport!J14</f>
        <v>0</v>
      </c>
      <c r="L20" s="682">
        <f>transport!K14</f>
        <v>0</v>
      </c>
      <c r="M20" s="682">
        <f>transport!L14</f>
        <v>0</v>
      </c>
      <c r="N20" s="682">
        <f>transport!M14</f>
        <v>3383.5692928339108</v>
      </c>
      <c r="O20" s="682">
        <f>transport!N14</f>
        <v>0</v>
      </c>
      <c r="P20" s="682">
        <f>transport!O14</f>
        <v>0</v>
      </c>
      <c r="Q20" s="683">
        <f>transport!P14</f>
        <v>0</v>
      </c>
      <c r="R20" s="685">
        <f>SUM(C20:Q20)</f>
        <v>61176.306348302634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106.18411419823154</v>
      </c>
      <c r="D22" s="806">
        <f t="shared" ref="D22:R22" si="1">SUM(D18:D21)</f>
        <v>0</v>
      </c>
      <c r="E22" s="806">
        <f t="shared" si="1"/>
        <v>189.5908813182503</v>
      </c>
      <c r="F22" s="806">
        <f t="shared" si="1"/>
        <v>103.37077571484598</v>
      </c>
      <c r="G22" s="806">
        <f t="shared" si="1"/>
        <v>0</v>
      </c>
      <c r="H22" s="806">
        <f t="shared" si="1"/>
        <v>46476.649042060992</v>
      </c>
      <c r="I22" s="806">
        <f t="shared" si="1"/>
        <v>11485.925910065827</v>
      </c>
      <c r="J22" s="806">
        <f t="shared" si="1"/>
        <v>0</v>
      </c>
      <c r="K22" s="806">
        <f t="shared" si="1"/>
        <v>0</v>
      </c>
      <c r="L22" s="806">
        <f t="shared" si="1"/>
        <v>0</v>
      </c>
      <c r="M22" s="806">
        <f t="shared" si="1"/>
        <v>0</v>
      </c>
      <c r="N22" s="806">
        <f t="shared" si="1"/>
        <v>3414.5536832951543</v>
      </c>
      <c r="O22" s="806">
        <f t="shared" si="1"/>
        <v>0</v>
      </c>
      <c r="P22" s="806">
        <f t="shared" si="1"/>
        <v>0</v>
      </c>
      <c r="Q22" s="806">
        <f t="shared" si="1"/>
        <v>0</v>
      </c>
      <c r="R22" s="806">
        <f t="shared" si="1"/>
        <v>61776.274406653298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1040.9294310717301</v>
      </c>
      <c r="D24" s="682">
        <f>+landbouw!C8</f>
        <v>5867.4375</v>
      </c>
      <c r="E24" s="682">
        <f>+landbouw!D8</f>
        <v>163.65017172755935</v>
      </c>
      <c r="F24" s="682">
        <f>+landbouw!E8</f>
        <v>38.819442460663048</v>
      </c>
      <c r="G24" s="682">
        <f>+landbouw!F8</f>
        <v>117.48980536190084</v>
      </c>
      <c r="H24" s="682">
        <f>+landbouw!G8</f>
        <v>0</v>
      </c>
      <c r="I24" s="682">
        <f>+landbouw!H8</f>
        <v>0</v>
      </c>
      <c r="J24" s="682">
        <f>+landbouw!I8</f>
        <v>0</v>
      </c>
      <c r="K24" s="682">
        <f>+landbouw!J8</f>
        <v>273.24911462826293</v>
      </c>
      <c r="L24" s="682">
        <f>+landbouw!K8</f>
        <v>0</v>
      </c>
      <c r="M24" s="682">
        <f>+landbouw!L8</f>
        <v>0</v>
      </c>
      <c r="N24" s="682">
        <f>+landbouw!M8</f>
        <v>0</v>
      </c>
      <c r="O24" s="682">
        <f>+landbouw!N8</f>
        <v>0</v>
      </c>
      <c r="P24" s="682">
        <f>+landbouw!O8</f>
        <v>0</v>
      </c>
      <c r="Q24" s="683">
        <f>+landbouw!P8</f>
        <v>0</v>
      </c>
      <c r="R24" s="685">
        <f>SUM(C24:Q24)</f>
        <v>7501.5754652501164</v>
      </c>
      <c r="S24" s="67"/>
    </row>
    <row r="25" spans="1:19" s="445" customFormat="1" ht="15" thickBot="1">
      <c r="A25" s="825" t="s">
        <v>703</v>
      </c>
      <c r="B25" s="938"/>
      <c r="C25" s="939">
        <f>IF(Onbekend_ele_kWh="---",0,Onbekend_ele_kWh)/1000+IF(REST_rest_ele_kWh="---",0,REST_rest_ele_kWh)/1000</f>
        <v>461.56668084264902</v>
      </c>
      <c r="D25" s="939"/>
      <c r="E25" s="939">
        <f>IF(onbekend_gas_kWh="---",0,onbekend_gas_kWh)/1000+IF(REST_rest_gas_kWh="---",0,REST_rest_gas_kWh)/1000</f>
        <v>646.23377416554104</v>
      </c>
      <c r="F25" s="939"/>
      <c r="G25" s="939"/>
      <c r="H25" s="939"/>
      <c r="I25" s="939"/>
      <c r="J25" s="939"/>
      <c r="K25" s="939"/>
      <c r="L25" s="939"/>
      <c r="M25" s="939"/>
      <c r="N25" s="939"/>
      <c r="O25" s="939"/>
      <c r="P25" s="939"/>
      <c r="Q25" s="940"/>
      <c r="R25" s="685">
        <f>SUM(C25:Q25)</f>
        <v>1107.8004550081901</v>
      </c>
      <c r="S25" s="67"/>
    </row>
    <row r="26" spans="1:19" s="445" customFormat="1" ht="15.75" thickBot="1">
      <c r="A26" s="690" t="s">
        <v>704</v>
      </c>
      <c r="B26" s="811"/>
      <c r="C26" s="806">
        <f>SUM(C24:C25)</f>
        <v>1502.4961119143791</v>
      </c>
      <c r="D26" s="806">
        <f t="shared" ref="D26:R26" si="2">SUM(D24:D25)</f>
        <v>5867.4375</v>
      </c>
      <c r="E26" s="806">
        <f t="shared" si="2"/>
        <v>809.88394589310042</v>
      </c>
      <c r="F26" s="806">
        <f t="shared" si="2"/>
        <v>38.819442460663048</v>
      </c>
      <c r="G26" s="806">
        <f t="shared" si="2"/>
        <v>117.48980536190084</v>
      </c>
      <c r="H26" s="806">
        <f t="shared" si="2"/>
        <v>0</v>
      </c>
      <c r="I26" s="806">
        <f t="shared" si="2"/>
        <v>0</v>
      </c>
      <c r="J26" s="806">
        <f t="shared" si="2"/>
        <v>0</v>
      </c>
      <c r="K26" s="806">
        <f t="shared" si="2"/>
        <v>273.24911462826293</v>
      </c>
      <c r="L26" s="806">
        <f t="shared" si="2"/>
        <v>0</v>
      </c>
      <c r="M26" s="806">
        <f t="shared" si="2"/>
        <v>0</v>
      </c>
      <c r="N26" s="806">
        <f t="shared" si="2"/>
        <v>0</v>
      </c>
      <c r="O26" s="806">
        <f t="shared" si="2"/>
        <v>0</v>
      </c>
      <c r="P26" s="806">
        <f t="shared" si="2"/>
        <v>0</v>
      </c>
      <c r="Q26" s="806">
        <f t="shared" si="2"/>
        <v>0</v>
      </c>
      <c r="R26" s="806">
        <f t="shared" si="2"/>
        <v>8609.375920258306</v>
      </c>
      <c r="S26" s="67"/>
    </row>
    <row r="27" spans="1:19" s="445" customFormat="1" ht="17.25" thickTop="1" thickBot="1">
      <c r="A27" s="691" t="s">
        <v>115</v>
      </c>
      <c r="B27" s="798"/>
      <c r="C27" s="692">
        <f ca="1">C22+C16+C26</f>
        <v>45120.486591224966</v>
      </c>
      <c r="D27" s="692">
        <f t="shared" ref="D27:R27" ca="1" si="3">D22+D16+D26</f>
        <v>5867.4375</v>
      </c>
      <c r="E27" s="692">
        <f t="shared" ca="1" si="3"/>
        <v>64376.522312081463</v>
      </c>
      <c r="F27" s="692">
        <f t="shared" si="3"/>
        <v>1712.9188466387091</v>
      </c>
      <c r="G27" s="692">
        <f t="shared" ca="1" si="3"/>
        <v>37333.483674626601</v>
      </c>
      <c r="H27" s="692">
        <f t="shared" si="3"/>
        <v>46476.649042060992</v>
      </c>
      <c r="I27" s="692">
        <f t="shared" si="3"/>
        <v>11485.925910065827</v>
      </c>
      <c r="J27" s="692">
        <f t="shared" si="3"/>
        <v>0</v>
      </c>
      <c r="K27" s="692">
        <f t="shared" si="3"/>
        <v>447.09388285251242</v>
      </c>
      <c r="L27" s="692">
        <f t="shared" si="3"/>
        <v>0</v>
      </c>
      <c r="M27" s="692">
        <f t="shared" ca="1" si="3"/>
        <v>0</v>
      </c>
      <c r="N27" s="692">
        <f t="shared" si="3"/>
        <v>3414.5536832951543</v>
      </c>
      <c r="O27" s="692">
        <f t="shared" ca="1" si="3"/>
        <v>8715.6901313094077</v>
      </c>
      <c r="P27" s="692">
        <f t="shared" si="3"/>
        <v>264.79578750554236</v>
      </c>
      <c r="Q27" s="692">
        <f t="shared" si="3"/>
        <v>958.32898053547683</v>
      </c>
      <c r="R27" s="692">
        <f t="shared" ca="1" si="3"/>
        <v>226173.88634219667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1665.6939700390417</v>
      </c>
      <c r="D40" s="682">
        <f ca="1">tertiair!C20</f>
        <v>0</v>
      </c>
      <c r="E40" s="682">
        <f ca="1">tertiair!D20</f>
        <v>1820.0996376965461</v>
      </c>
      <c r="F40" s="682">
        <f>tertiair!E20</f>
        <v>6.1322166381170238</v>
      </c>
      <c r="G40" s="682">
        <f ca="1">tertiair!F20</f>
        <v>320.57653675082025</v>
      </c>
      <c r="H40" s="682">
        <f>tertiair!G20</f>
        <v>0</v>
      </c>
      <c r="I40" s="682">
        <f>tertiair!H20</f>
        <v>0</v>
      </c>
      <c r="J40" s="682">
        <f>tertiair!I20</f>
        <v>0</v>
      </c>
      <c r="K40" s="682">
        <f>tertiair!J20</f>
        <v>2.7910566714851783E-3</v>
      </c>
      <c r="L40" s="682">
        <f>tertiair!K20</f>
        <v>0</v>
      </c>
      <c r="M40" s="682">
        <f ca="1">tertiair!L20</f>
        <v>0</v>
      </c>
      <c r="N40" s="682">
        <f>tertiair!M20</f>
        <v>0</v>
      </c>
      <c r="O40" s="682">
        <f ca="1">tertiair!N20</f>
        <v>0</v>
      </c>
      <c r="P40" s="682">
        <f>tertiair!O20</f>
        <v>0</v>
      </c>
      <c r="Q40" s="765">
        <f>tertiair!P20</f>
        <v>0</v>
      </c>
      <c r="R40" s="844">
        <f t="shared" ca="1" si="4"/>
        <v>3812.5051521811965</v>
      </c>
    </row>
    <row r="41" spans="1:18">
      <c r="A41" s="816" t="s">
        <v>220</v>
      </c>
      <c r="B41" s="823"/>
      <c r="C41" s="682">
        <f ca="1">huishoudens!B12</f>
        <v>4842.8532777541495</v>
      </c>
      <c r="D41" s="682">
        <f ca="1">huishoudens!C12</f>
        <v>0</v>
      </c>
      <c r="E41" s="682">
        <f>huishoudens!D12</f>
        <v>9277.4421966087502</v>
      </c>
      <c r="F41" s="682">
        <f>huishoudens!E12</f>
        <v>346.76872878864862</v>
      </c>
      <c r="G41" s="682">
        <f>huishoudens!F12</f>
        <v>9264.3865877628905</v>
      </c>
      <c r="H41" s="682">
        <f>huishoudens!G12</f>
        <v>0</v>
      </c>
      <c r="I41" s="682">
        <f>huishoudens!H12</f>
        <v>0</v>
      </c>
      <c r="J41" s="682">
        <f>huishoudens!I12</f>
        <v>0</v>
      </c>
      <c r="K41" s="682">
        <f>huishoudens!J12</f>
        <v>61.450373438398501</v>
      </c>
      <c r="L41" s="682">
        <f>huishoudens!K12</f>
        <v>0</v>
      </c>
      <c r="M41" s="682">
        <f>huishoudens!L12</f>
        <v>0</v>
      </c>
      <c r="N41" s="682">
        <f>huishoudens!M12</f>
        <v>0</v>
      </c>
      <c r="O41" s="682">
        <f>huishoudens!N12</f>
        <v>0</v>
      </c>
      <c r="P41" s="682">
        <f>huishoudens!O12</f>
        <v>0</v>
      </c>
      <c r="Q41" s="765">
        <f>huishoudens!P12</f>
        <v>0</v>
      </c>
      <c r="R41" s="844">
        <f t="shared" ca="1" si="4"/>
        <v>23792.901164352836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1242.1378734612858</v>
      </c>
      <c r="D43" s="682">
        <f ca="1">industrie!C22</f>
        <v>0</v>
      </c>
      <c r="E43" s="682">
        <f>industrie!D22</f>
        <v>1704.621757638469</v>
      </c>
      <c r="F43" s="682">
        <f>industrie!E22</f>
        <v>3.6544532343807616</v>
      </c>
      <c r="G43" s="682">
        <f>industrie!F22</f>
        <v>351.70723857996256</v>
      </c>
      <c r="H43" s="682">
        <f>industrie!G22</f>
        <v>0</v>
      </c>
      <c r="I43" s="682">
        <f>industrie!H22</f>
        <v>0</v>
      </c>
      <c r="J43" s="682">
        <f>industrie!I22</f>
        <v>0</v>
      </c>
      <c r="K43" s="682">
        <f>industrie!J22</f>
        <v>8.7883456314330852E-2</v>
      </c>
      <c r="L43" s="682">
        <f>industrie!K22</f>
        <v>0</v>
      </c>
      <c r="M43" s="682">
        <f>industrie!L22</f>
        <v>0</v>
      </c>
      <c r="N43" s="682">
        <f>industrie!M22</f>
        <v>0</v>
      </c>
      <c r="O43" s="682">
        <f>industrie!N22</f>
        <v>0</v>
      </c>
      <c r="P43" s="682">
        <f>industrie!O22</f>
        <v>0</v>
      </c>
      <c r="Q43" s="765">
        <f>industrie!P22</f>
        <v>0</v>
      </c>
      <c r="R43" s="843">
        <f t="shared" ca="1" si="4"/>
        <v>3302.2092063704131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7750.6851212544771</v>
      </c>
      <c r="D46" s="718">
        <f t="shared" ref="D46:Q46" ca="1" si="5">SUM(D39:D45)</f>
        <v>0</v>
      </c>
      <c r="E46" s="718">
        <f t="shared" ca="1" si="5"/>
        <v>12802.163591943767</v>
      </c>
      <c r="F46" s="718">
        <f t="shared" si="5"/>
        <v>356.5553986611464</v>
      </c>
      <c r="G46" s="718">
        <f t="shared" ca="1" si="5"/>
        <v>9936.6703630936736</v>
      </c>
      <c r="H46" s="718">
        <f t="shared" si="5"/>
        <v>0</v>
      </c>
      <c r="I46" s="718">
        <f t="shared" si="5"/>
        <v>0</v>
      </c>
      <c r="J46" s="718">
        <f t="shared" si="5"/>
        <v>0</v>
      </c>
      <c r="K46" s="718">
        <f t="shared" si="5"/>
        <v>61.541047951384314</v>
      </c>
      <c r="L46" s="718">
        <f t="shared" si="5"/>
        <v>0</v>
      </c>
      <c r="M46" s="718">
        <f t="shared" ca="1" si="5"/>
        <v>0</v>
      </c>
      <c r="N46" s="718">
        <f t="shared" si="5"/>
        <v>0</v>
      </c>
      <c r="O46" s="718">
        <f t="shared" ca="1" si="5"/>
        <v>0</v>
      </c>
      <c r="P46" s="718">
        <f t="shared" si="5"/>
        <v>0</v>
      </c>
      <c r="Q46" s="718">
        <f t="shared" si="5"/>
        <v>0</v>
      </c>
      <c r="R46" s="718">
        <f ca="1">SUM(R39:R45)</f>
        <v>30907.615522904445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1.4003126734331373</v>
      </c>
      <c r="D49" s="682">
        <f ca="1">transport!C58</f>
        <v>0</v>
      </c>
      <c r="E49" s="682">
        <f>transport!D58</f>
        <v>0</v>
      </c>
      <c r="F49" s="682">
        <f>transport!E58</f>
        <v>0</v>
      </c>
      <c r="G49" s="682">
        <f>transport!F58</f>
        <v>0</v>
      </c>
      <c r="H49" s="682">
        <f>transport!G58</f>
        <v>149.8196834927646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151.21999616619775</v>
      </c>
    </row>
    <row r="50" spans="1:18">
      <c r="A50" s="819" t="s">
        <v>302</v>
      </c>
      <c r="B50" s="829"/>
      <c r="C50" s="688">
        <f ca="1">transport!B18</f>
        <v>17.514085573422872</v>
      </c>
      <c r="D50" s="688">
        <f>transport!C18</f>
        <v>0</v>
      </c>
      <c r="E50" s="688">
        <f>transport!D18</f>
        <v>38.29735802628656</v>
      </c>
      <c r="F50" s="688">
        <f>transport!E18</f>
        <v>23.465166087270038</v>
      </c>
      <c r="G50" s="688">
        <f>transport!F18</f>
        <v>0</v>
      </c>
      <c r="H50" s="688">
        <f>transport!G18</f>
        <v>12259.445610737521</v>
      </c>
      <c r="I50" s="688">
        <f>transport!H18</f>
        <v>2859.995551606391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15198.717772030892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18.91439824685601</v>
      </c>
      <c r="D52" s="718">
        <f t="shared" ref="D52:Q52" ca="1" si="6">SUM(D48:D51)</f>
        <v>0</v>
      </c>
      <c r="E52" s="718">
        <f t="shared" si="6"/>
        <v>38.29735802628656</v>
      </c>
      <c r="F52" s="718">
        <f t="shared" si="6"/>
        <v>23.465166087270038</v>
      </c>
      <c r="G52" s="718">
        <f t="shared" si="6"/>
        <v>0</v>
      </c>
      <c r="H52" s="718">
        <f t="shared" si="6"/>
        <v>12409.265294230285</v>
      </c>
      <c r="I52" s="718">
        <f t="shared" si="6"/>
        <v>2859.995551606391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15349.937768197089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185.4190144620697</v>
      </c>
      <c r="D54" s="688">
        <f ca="1">+landbouw!C12</f>
        <v>460.76641544117649</v>
      </c>
      <c r="E54" s="688">
        <f>+landbouw!D12</f>
        <v>33.057334688966989</v>
      </c>
      <c r="F54" s="688">
        <f>+landbouw!E12</f>
        <v>8.8120134385705118</v>
      </c>
      <c r="G54" s="688">
        <f>+landbouw!F12</f>
        <v>31.369778031627526</v>
      </c>
      <c r="H54" s="688">
        <f>+landbouw!G12</f>
        <v>0</v>
      </c>
      <c r="I54" s="688">
        <f>+landbouw!H12</f>
        <v>0</v>
      </c>
      <c r="J54" s="688">
        <f>+landbouw!I12</f>
        <v>0</v>
      </c>
      <c r="K54" s="688">
        <f>+landbouw!J12</f>
        <v>96.730186578405068</v>
      </c>
      <c r="L54" s="688">
        <f>+landbouw!K12</f>
        <v>0</v>
      </c>
      <c r="M54" s="688">
        <f>+landbouw!L12</f>
        <v>0</v>
      </c>
      <c r="N54" s="688">
        <f>+landbouw!M12</f>
        <v>0</v>
      </c>
      <c r="O54" s="688">
        <f>+landbouw!N12</f>
        <v>0</v>
      </c>
      <c r="P54" s="688">
        <f>+landbouw!O12</f>
        <v>0</v>
      </c>
      <c r="Q54" s="689">
        <f>+landbouw!P12</f>
        <v>0</v>
      </c>
      <c r="R54" s="717">
        <f ca="1">SUM(C54:Q54)</f>
        <v>816.15474264081627</v>
      </c>
    </row>
    <row r="55" spans="1:18" ht="15" thickBot="1">
      <c r="A55" s="819" t="s">
        <v>703</v>
      </c>
      <c r="B55" s="829"/>
      <c r="C55" s="688">
        <f ca="1">C25*'EF ele_warmte'!B12</f>
        <v>82.218099052360387</v>
      </c>
      <c r="D55" s="688"/>
      <c r="E55" s="688">
        <f>E25*EF_CO2_aardgas</f>
        <v>130.53922238143929</v>
      </c>
      <c r="F55" s="688"/>
      <c r="G55" s="688"/>
      <c r="H55" s="688"/>
      <c r="I55" s="688"/>
      <c r="J55" s="688"/>
      <c r="K55" s="688"/>
      <c r="L55" s="688"/>
      <c r="M55" s="688"/>
      <c r="N55" s="688"/>
      <c r="O55" s="688"/>
      <c r="P55" s="688"/>
      <c r="Q55" s="689"/>
      <c r="R55" s="717">
        <f ca="1">SUM(C55:Q55)</f>
        <v>212.75732143379969</v>
      </c>
    </row>
    <row r="56" spans="1:18" ht="15.75" thickBot="1">
      <c r="A56" s="817" t="s">
        <v>704</v>
      </c>
      <c r="B56" s="830"/>
      <c r="C56" s="718">
        <f ca="1">SUM(C54:C55)</f>
        <v>267.6371135144301</v>
      </c>
      <c r="D56" s="718">
        <f t="shared" ref="D56:Q56" ca="1" si="7">SUM(D54:D55)</f>
        <v>460.76641544117649</v>
      </c>
      <c r="E56" s="718">
        <f t="shared" si="7"/>
        <v>163.59655707040628</v>
      </c>
      <c r="F56" s="718">
        <f t="shared" si="7"/>
        <v>8.8120134385705118</v>
      </c>
      <c r="G56" s="718">
        <f t="shared" si="7"/>
        <v>31.369778031627526</v>
      </c>
      <c r="H56" s="718">
        <f t="shared" si="7"/>
        <v>0</v>
      </c>
      <c r="I56" s="718">
        <f t="shared" si="7"/>
        <v>0</v>
      </c>
      <c r="J56" s="718">
        <f t="shared" si="7"/>
        <v>0</v>
      </c>
      <c r="K56" s="718">
        <f t="shared" si="7"/>
        <v>96.730186578405068</v>
      </c>
      <c r="L56" s="718">
        <f t="shared" si="7"/>
        <v>0</v>
      </c>
      <c r="M56" s="718">
        <f t="shared" si="7"/>
        <v>0</v>
      </c>
      <c r="N56" s="718">
        <f t="shared" si="7"/>
        <v>0</v>
      </c>
      <c r="O56" s="718">
        <f t="shared" si="7"/>
        <v>0</v>
      </c>
      <c r="P56" s="718">
        <f t="shared" si="7"/>
        <v>0</v>
      </c>
      <c r="Q56" s="719">
        <f t="shared" si="7"/>
        <v>0</v>
      </c>
      <c r="R56" s="720">
        <f ca="1">SUM(R54:R55)</f>
        <v>1028.912064074616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8037.2366330157629</v>
      </c>
      <c r="D61" s="726">
        <f t="shared" ref="D61:Q61" ca="1" si="8">D46+D52+D56</f>
        <v>460.76641544117649</v>
      </c>
      <c r="E61" s="726">
        <f t="shared" ca="1" si="8"/>
        <v>13004.057507040459</v>
      </c>
      <c r="F61" s="726">
        <f t="shared" si="8"/>
        <v>388.83257818698695</v>
      </c>
      <c r="G61" s="726">
        <f t="shared" ca="1" si="8"/>
        <v>9968.0401411253006</v>
      </c>
      <c r="H61" s="726">
        <f t="shared" si="8"/>
        <v>12409.265294230285</v>
      </c>
      <c r="I61" s="726">
        <f t="shared" si="8"/>
        <v>2859.995551606391</v>
      </c>
      <c r="J61" s="726">
        <f t="shared" si="8"/>
        <v>0</v>
      </c>
      <c r="K61" s="726">
        <f t="shared" si="8"/>
        <v>158.27123452978938</v>
      </c>
      <c r="L61" s="726">
        <f t="shared" si="8"/>
        <v>0</v>
      </c>
      <c r="M61" s="726">
        <f t="shared" ca="1" si="8"/>
        <v>0</v>
      </c>
      <c r="N61" s="726">
        <f t="shared" si="8"/>
        <v>0</v>
      </c>
      <c r="O61" s="726">
        <f t="shared" ca="1" si="8"/>
        <v>0</v>
      </c>
      <c r="P61" s="726">
        <f t="shared" si="8"/>
        <v>0</v>
      </c>
      <c r="Q61" s="726">
        <f t="shared" si="8"/>
        <v>0</v>
      </c>
      <c r="R61" s="726">
        <f ca="1">R46+R52+R56</f>
        <v>47286.465355176151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0.17812832352253144</v>
      </c>
      <c r="D63" s="772">
        <f t="shared" ca="1" si="9"/>
        <v>7.8529411764705889E-2</v>
      </c>
      <c r="E63" s="964">
        <f t="shared" ca="1" si="9"/>
        <v>0.20200000000000007</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5390.658600469591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3911.6249999999995</v>
      </c>
      <c r="C76" s="739">
        <f>'lokale energieproductie'!B8*IFERROR(SUM(D76:H76)/SUM(D76:O76),0)</f>
        <v>1303.875</v>
      </c>
      <c r="D76" s="947">
        <f>'lokale energieproductie'!C8</f>
        <v>0</v>
      </c>
      <c r="E76" s="948">
        <f>'lokale energieproductie'!D8</f>
        <v>0</v>
      </c>
      <c r="F76" s="948">
        <f>'lokale energieproductie'!E8</f>
        <v>1533.9705882352941</v>
      </c>
      <c r="G76" s="948">
        <f>'lokale energieproductie'!F8</f>
        <v>0</v>
      </c>
      <c r="H76" s="948">
        <f>'lokale energieproductie'!G8</f>
        <v>0</v>
      </c>
      <c r="I76" s="948">
        <f>'lokale energieproductie'!I8</f>
        <v>4601.911764705882</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409.57014705882358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9302.283600469591</v>
      </c>
      <c r="C78" s="744">
        <f>SUM(C72:C77)</f>
        <v>1303.875</v>
      </c>
      <c r="D78" s="745">
        <f t="shared" ref="D78:H78" si="10">SUM(D76:D77)</f>
        <v>0</v>
      </c>
      <c r="E78" s="745">
        <f t="shared" si="10"/>
        <v>0</v>
      </c>
      <c r="F78" s="745">
        <f t="shared" si="10"/>
        <v>1533.9705882352941</v>
      </c>
      <c r="G78" s="745">
        <f t="shared" si="10"/>
        <v>0</v>
      </c>
      <c r="H78" s="745">
        <f t="shared" si="10"/>
        <v>0</v>
      </c>
      <c r="I78" s="745">
        <f>SUM(I76:I77)</f>
        <v>4601.911764705882</v>
      </c>
      <c r="J78" s="745">
        <f>SUM(J76:J77)</f>
        <v>0</v>
      </c>
      <c r="K78" s="745">
        <f t="shared" ref="K78:L78" si="11">SUM(K76:K77)</f>
        <v>0</v>
      </c>
      <c r="L78" s="745">
        <f t="shared" si="11"/>
        <v>0</v>
      </c>
      <c r="M78" s="745">
        <f>SUM(M76:M77)</f>
        <v>0</v>
      </c>
      <c r="N78" s="745">
        <f>SUM(N76:N77)</f>
        <v>0</v>
      </c>
      <c r="O78" s="854">
        <f>SUM(O76:O77)</f>
        <v>0</v>
      </c>
      <c r="P78" s="746">
        <v>0</v>
      </c>
      <c r="Q78" s="746">
        <f>SUM(Q76:Q77)</f>
        <v>409.57014705882358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4400.5781250000009</v>
      </c>
      <c r="C87" s="757">
        <f>'lokale energieproductie'!B17*IFERROR(SUM(D87:H87)/SUM(D87:O87),0)</f>
        <v>1466.859375</v>
      </c>
      <c r="D87" s="768">
        <f>'lokale energieproductie'!C17</f>
        <v>0</v>
      </c>
      <c r="E87" s="768">
        <f>'lokale energieproductie'!D17</f>
        <v>0</v>
      </c>
      <c r="F87" s="768">
        <f>'lokale energieproductie'!E17</f>
        <v>1725.7169117647059</v>
      </c>
      <c r="G87" s="768">
        <f>'lokale energieproductie'!F17</f>
        <v>0</v>
      </c>
      <c r="H87" s="768">
        <f>'lokale energieproductie'!G17</f>
        <v>0</v>
      </c>
      <c r="I87" s="768">
        <f>'lokale energieproductie'!I17</f>
        <v>5177.150735294118</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460.76641544117649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4400.5781250000009</v>
      </c>
      <c r="C90" s="744">
        <f>SUM(C87:C89)</f>
        <v>1466.859375</v>
      </c>
      <c r="D90" s="744">
        <f t="shared" ref="D90:H90" si="12">SUM(D87:D89)</f>
        <v>0</v>
      </c>
      <c r="E90" s="744">
        <f t="shared" si="12"/>
        <v>0</v>
      </c>
      <c r="F90" s="744">
        <f t="shared" si="12"/>
        <v>1725.7169117647059</v>
      </c>
      <c r="G90" s="744">
        <f t="shared" si="12"/>
        <v>0</v>
      </c>
      <c r="H90" s="744">
        <f t="shared" si="12"/>
        <v>0</v>
      </c>
      <c r="I90" s="744">
        <f>SUM(I87:I89)</f>
        <v>5177.150735294118</v>
      </c>
      <c r="J90" s="744">
        <f>SUM(J87:J89)</f>
        <v>0</v>
      </c>
      <c r="K90" s="744">
        <f t="shared" ref="K90:L90" si="13">SUM(K87:K89)</f>
        <v>0</v>
      </c>
      <c r="L90" s="744">
        <f t="shared" si="13"/>
        <v>0</v>
      </c>
      <c r="M90" s="744">
        <f>SUM(M87:M89)</f>
        <v>0</v>
      </c>
      <c r="N90" s="744">
        <f>SUM(N87:N89)</f>
        <v>0</v>
      </c>
      <c r="O90" s="744">
        <f>SUM(O87:O89)</f>
        <v>0</v>
      </c>
      <c r="P90" s="744">
        <v>0</v>
      </c>
      <c r="Q90" s="744">
        <f>SUM(Q87:Q89)</f>
        <v>460.76641544117649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27187.440952598299</v>
      </c>
      <c r="C4" s="449">
        <f>huishoudens!C8</f>
        <v>0</v>
      </c>
      <c r="D4" s="449">
        <f>huishoudens!D8</f>
        <v>45927.931666379947</v>
      </c>
      <c r="E4" s="449">
        <f>huishoudens!E8</f>
        <v>1527.6155453244432</v>
      </c>
      <c r="F4" s="449">
        <f>huishoudens!F8</f>
        <v>34698.077107726182</v>
      </c>
      <c r="G4" s="449">
        <f>huishoudens!G8</f>
        <v>0</v>
      </c>
      <c r="H4" s="449">
        <f>huishoudens!H8</f>
        <v>0</v>
      </c>
      <c r="I4" s="449">
        <f>huishoudens!I8</f>
        <v>0</v>
      </c>
      <c r="J4" s="449">
        <f>huishoudens!J8</f>
        <v>173.58862553219916</v>
      </c>
      <c r="K4" s="449">
        <f>huishoudens!K8</f>
        <v>0</v>
      </c>
      <c r="L4" s="449">
        <f>huishoudens!L8</f>
        <v>0</v>
      </c>
      <c r="M4" s="449">
        <f>huishoudens!M8</f>
        <v>0</v>
      </c>
      <c r="N4" s="449">
        <f>huishoudens!N8</f>
        <v>8092.4911971602323</v>
      </c>
      <c r="O4" s="449">
        <f>huishoudens!O8</f>
        <v>259.8985267397012</v>
      </c>
      <c r="P4" s="450">
        <f>huishoudens!P8</f>
        <v>853.25070392248676</v>
      </c>
      <c r="Q4" s="451">
        <f>SUM(B4:P4)</f>
        <v>118720.2943253835</v>
      </c>
    </row>
    <row r="5" spans="1:17">
      <c r="A5" s="448" t="s">
        <v>155</v>
      </c>
      <c r="B5" s="449">
        <f ca="1">tertiair!B16</f>
        <v>8492.5279170863669</v>
      </c>
      <c r="C5" s="449">
        <f ca="1">tertiair!C16</f>
        <v>0</v>
      </c>
      <c r="D5" s="449">
        <f ca="1">tertiair!D16</f>
        <v>9010.3942460225044</v>
      </c>
      <c r="E5" s="449">
        <f>tertiair!E16</f>
        <v>27.014170211969265</v>
      </c>
      <c r="F5" s="449">
        <f ca="1">tertiair!F16</f>
        <v>1200.66118633266</v>
      </c>
      <c r="G5" s="449">
        <f>tertiair!G16</f>
        <v>0</v>
      </c>
      <c r="H5" s="449">
        <f>tertiair!H16</f>
        <v>0</v>
      </c>
      <c r="I5" s="449">
        <f>tertiair!I16</f>
        <v>0</v>
      </c>
      <c r="J5" s="449">
        <f>tertiair!J16</f>
        <v>7.8843408799016343E-3</v>
      </c>
      <c r="K5" s="449">
        <f>tertiair!K16</f>
        <v>0</v>
      </c>
      <c r="L5" s="449">
        <f ca="1">tertiair!L16</f>
        <v>0</v>
      </c>
      <c r="M5" s="449">
        <f>tertiair!M16</f>
        <v>0</v>
      </c>
      <c r="N5" s="449">
        <f ca="1">tertiair!N16</f>
        <v>291.64205869039938</v>
      </c>
      <c r="O5" s="449">
        <f>tertiair!O16</f>
        <v>4.8972607658411542</v>
      </c>
      <c r="P5" s="450">
        <f>tertiair!P16</f>
        <v>105.07827661299004</v>
      </c>
      <c r="Q5" s="448">
        <f t="shared" ref="Q5:Q14" ca="1" si="0">SUM(B5:P5)</f>
        <v>19132.223000063612</v>
      </c>
    </row>
    <row r="6" spans="1:17">
      <c r="A6" s="448" t="s">
        <v>193</v>
      </c>
      <c r="B6" s="449">
        <f>'openbare verlichting'!B8</f>
        <v>858.56200000000001</v>
      </c>
      <c r="C6" s="449"/>
      <c r="D6" s="449"/>
      <c r="E6" s="449"/>
      <c r="F6" s="449"/>
      <c r="G6" s="449"/>
      <c r="H6" s="449"/>
      <c r="I6" s="449"/>
      <c r="J6" s="449"/>
      <c r="K6" s="449"/>
      <c r="L6" s="449"/>
      <c r="M6" s="449"/>
      <c r="N6" s="449"/>
      <c r="O6" s="449"/>
      <c r="P6" s="450"/>
      <c r="Q6" s="448">
        <f t="shared" si="0"/>
        <v>858.56200000000001</v>
      </c>
    </row>
    <row r="7" spans="1:17">
      <c r="A7" s="448" t="s">
        <v>111</v>
      </c>
      <c r="B7" s="449">
        <f>landbouw!B8</f>
        <v>1040.9294310717301</v>
      </c>
      <c r="C7" s="449">
        <f>landbouw!C8</f>
        <v>5867.4375</v>
      </c>
      <c r="D7" s="449">
        <f>landbouw!D8</f>
        <v>163.65017172755935</v>
      </c>
      <c r="E7" s="449">
        <f>landbouw!E8</f>
        <v>38.819442460663048</v>
      </c>
      <c r="F7" s="449">
        <f>landbouw!F8</f>
        <v>117.48980536190084</v>
      </c>
      <c r="G7" s="449">
        <f>landbouw!G8</f>
        <v>0</v>
      </c>
      <c r="H7" s="449">
        <f>landbouw!H8</f>
        <v>0</v>
      </c>
      <c r="I7" s="449">
        <f>landbouw!I8</f>
        <v>0</v>
      </c>
      <c r="J7" s="449">
        <f>landbouw!J8</f>
        <v>273.24911462826293</v>
      </c>
      <c r="K7" s="449">
        <f>landbouw!K8</f>
        <v>0</v>
      </c>
      <c r="L7" s="449">
        <f>landbouw!L8</f>
        <v>0</v>
      </c>
      <c r="M7" s="449">
        <f>landbouw!M8</f>
        <v>0</v>
      </c>
      <c r="N7" s="449">
        <f>landbouw!N8</f>
        <v>0</v>
      </c>
      <c r="O7" s="449">
        <f>landbouw!O8</f>
        <v>0</v>
      </c>
      <c r="P7" s="450">
        <f>landbouw!P8</f>
        <v>0</v>
      </c>
      <c r="Q7" s="448">
        <f t="shared" si="0"/>
        <v>7501.5754652501164</v>
      </c>
    </row>
    <row r="8" spans="1:17">
      <c r="A8" s="448" t="s">
        <v>618</v>
      </c>
      <c r="B8" s="449">
        <f>industrie!B18</f>
        <v>6973.2754954276998</v>
      </c>
      <c r="C8" s="449">
        <f>industrie!C18</f>
        <v>0</v>
      </c>
      <c r="D8" s="449">
        <f>industrie!D18</f>
        <v>8438.721572467668</v>
      </c>
      <c r="E8" s="449">
        <f>industrie!E18</f>
        <v>16.098912926787495</v>
      </c>
      <c r="F8" s="449">
        <f>industrie!F18</f>
        <v>1317.2555752058522</v>
      </c>
      <c r="G8" s="449">
        <f>industrie!G18</f>
        <v>0</v>
      </c>
      <c r="H8" s="449">
        <f>industrie!H18</f>
        <v>0</v>
      </c>
      <c r="I8" s="449">
        <f>industrie!I18</f>
        <v>0</v>
      </c>
      <c r="J8" s="449">
        <f>industrie!J18</f>
        <v>0.24825835117042616</v>
      </c>
      <c r="K8" s="449">
        <f>industrie!K18</f>
        <v>0</v>
      </c>
      <c r="L8" s="449">
        <f>industrie!L18</f>
        <v>0</v>
      </c>
      <c r="M8" s="449">
        <f>industrie!M18</f>
        <v>0</v>
      </c>
      <c r="N8" s="449">
        <f>industrie!N18</f>
        <v>331.55687545877697</v>
      </c>
      <c r="O8" s="449">
        <f>industrie!O18</f>
        <v>0</v>
      </c>
      <c r="P8" s="450">
        <f>industrie!P18</f>
        <v>0</v>
      </c>
      <c r="Q8" s="448">
        <f t="shared" si="0"/>
        <v>17077.156689837953</v>
      </c>
    </row>
    <row r="9" spans="1:17" s="454" customFormat="1">
      <c r="A9" s="452" t="s">
        <v>544</v>
      </c>
      <c r="B9" s="453">
        <f>transport!B14</f>
        <v>98.322856394073227</v>
      </c>
      <c r="C9" s="453">
        <f>transport!C14</f>
        <v>0</v>
      </c>
      <c r="D9" s="453">
        <f>transport!D14</f>
        <v>189.5908813182503</v>
      </c>
      <c r="E9" s="453">
        <f>transport!E14</f>
        <v>103.37077571484598</v>
      </c>
      <c r="F9" s="453">
        <f>transport!F14</f>
        <v>0</v>
      </c>
      <c r="G9" s="453">
        <f>transport!G14</f>
        <v>45915.526631975728</v>
      </c>
      <c r="H9" s="453">
        <f>transport!H14</f>
        <v>11485.925910065827</v>
      </c>
      <c r="I9" s="453">
        <f>transport!I14</f>
        <v>0</v>
      </c>
      <c r="J9" s="453">
        <f>transport!J14</f>
        <v>0</v>
      </c>
      <c r="K9" s="453">
        <f>transport!K14</f>
        <v>0</v>
      </c>
      <c r="L9" s="453">
        <f>transport!L14</f>
        <v>0</v>
      </c>
      <c r="M9" s="453">
        <f>transport!M14</f>
        <v>3383.5692928339108</v>
      </c>
      <c r="N9" s="453">
        <f>transport!N14</f>
        <v>0</v>
      </c>
      <c r="O9" s="453">
        <f>transport!O14</f>
        <v>0</v>
      </c>
      <c r="P9" s="453">
        <f>transport!P14</f>
        <v>0</v>
      </c>
      <c r="Q9" s="452">
        <f>SUM(B9:P9)</f>
        <v>61176.306348302634</v>
      </c>
    </row>
    <row r="10" spans="1:17">
      <c r="A10" s="448" t="s">
        <v>534</v>
      </c>
      <c r="B10" s="449">
        <f>transport!B54</f>
        <v>7.8612578041583152</v>
      </c>
      <c r="C10" s="449">
        <f>transport!C54</f>
        <v>0</v>
      </c>
      <c r="D10" s="449">
        <f>transport!D54</f>
        <v>0</v>
      </c>
      <c r="E10" s="449">
        <f>transport!E54</f>
        <v>0</v>
      </c>
      <c r="F10" s="449">
        <f>transport!F54</f>
        <v>0</v>
      </c>
      <c r="G10" s="449">
        <f>transport!G54</f>
        <v>561.12241008526064</v>
      </c>
      <c r="H10" s="449">
        <f>transport!H54</f>
        <v>0</v>
      </c>
      <c r="I10" s="449">
        <f>transport!I54</f>
        <v>0</v>
      </c>
      <c r="J10" s="449">
        <f>transport!J54</f>
        <v>0</v>
      </c>
      <c r="K10" s="449">
        <f>transport!K54</f>
        <v>0</v>
      </c>
      <c r="L10" s="449">
        <f>transport!L54</f>
        <v>0</v>
      </c>
      <c r="M10" s="449">
        <f>transport!M54</f>
        <v>30.984390461243517</v>
      </c>
      <c r="N10" s="449">
        <f>transport!N54</f>
        <v>0</v>
      </c>
      <c r="O10" s="449">
        <f>transport!O54</f>
        <v>0</v>
      </c>
      <c r="P10" s="450">
        <f>transport!P54</f>
        <v>0</v>
      </c>
      <c r="Q10" s="448">
        <f t="shared" si="0"/>
        <v>599.96805835066243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461.56668084264902</v>
      </c>
      <c r="C14" s="456"/>
      <c r="D14" s="456">
        <f>'SEAP template'!E25</f>
        <v>646.23377416554104</v>
      </c>
      <c r="E14" s="456"/>
      <c r="F14" s="456"/>
      <c r="G14" s="456"/>
      <c r="H14" s="456"/>
      <c r="I14" s="456"/>
      <c r="J14" s="456"/>
      <c r="K14" s="456"/>
      <c r="L14" s="456"/>
      <c r="M14" s="456"/>
      <c r="N14" s="456"/>
      <c r="O14" s="456"/>
      <c r="P14" s="457"/>
      <c r="Q14" s="448">
        <f t="shared" si="0"/>
        <v>1107.8004550081901</v>
      </c>
    </row>
    <row r="15" spans="1:17" s="460" customFormat="1">
      <c r="A15" s="458" t="s">
        <v>538</v>
      </c>
      <c r="B15" s="459">
        <f ca="1">SUM(B4:B14)</f>
        <v>45120.486591224966</v>
      </c>
      <c r="C15" s="459">
        <f t="shared" ref="C15:Q15" ca="1" si="1">SUM(C4:C14)</f>
        <v>5867.4375</v>
      </c>
      <c r="D15" s="459">
        <f t="shared" ca="1" si="1"/>
        <v>64376.52231208147</v>
      </c>
      <c r="E15" s="459">
        <f t="shared" si="1"/>
        <v>1712.9188466387091</v>
      </c>
      <c r="F15" s="459">
        <f t="shared" ca="1" si="1"/>
        <v>37333.483674626601</v>
      </c>
      <c r="G15" s="459">
        <f t="shared" si="1"/>
        <v>46476.649042060992</v>
      </c>
      <c r="H15" s="459">
        <f t="shared" si="1"/>
        <v>11485.925910065827</v>
      </c>
      <c r="I15" s="459">
        <f t="shared" si="1"/>
        <v>0</v>
      </c>
      <c r="J15" s="459">
        <f t="shared" si="1"/>
        <v>447.09388285251242</v>
      </c>
      <c r="K15" s="459">
        <f t="shared" si="1"/>
        <v>0</v>
      </c>
      <c r="L15" s="459">
        <f t="shared" ca="1" si="1"/>
        <v>0</v>
      </c>
      <c r="M15" s="459">
        <f t="shared" si="1"/>
        <v>3414.5536832951543</v>
      </c>
      <c r="N15" s="459">
        <f t="shared" ca="1" si="1"/>
        <v>8715.6901313094077</v>
      </c>
      <c r="O15" s="459">
        <f t="shared" si="1"/>
        <v>264.79578750554236</v>
      </c>
      <c r="P15" s="459">
        <f t="shared" si="1"/>
        <v>958.32898053547683</v>
      </c>
      <c r="Q15" s="459">
        <f t="shared" ca="1" si="1"/>
        <v>226173.8863421967</v>
      </c>
    </row>
    <row r="17" spans="1:17">
      <c r="A17" s="461" t="s">
        <v>539</v>
      </c>
      <c r="B17" s="777">
        <f ca="1">huishoudens!B10</f>
        <v>0.17812832352253141</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4842.8532777541495</v>
      </c>
      <c r="C22" s="449">
        <f t="shared" ref="C22:C32" ca="1" si="3">C4*$C$17</f>
        <v>0</v>
      </c>
      <c r="D22" s="449">
        <f t="shared" ref="D22:D32" si="4">D4*$D$17</f>
        <v>9277.4421966087502</v>
      </c>
      <c r="E22" s="449">
        <f t="shared" ref="E22:E32" si="5">E4*$E$17</f>
        <v>346.76872878864862</v>
      </c>
      <c r="F22" s="449">
        <f t="shared" ref="F22:F32" si="6">F4*$F$17</f>
        <v>9264.3865877628905</v>
      </c>
      <c r="G22" s="449">
        <f t="shared" ref="G22:G32" si="7">G4*$G$17</f>
        <v>0</v>
      </c>
      <c r="H22" s="449">
        <f t="shared" ref="H22:H32" si="8">H4*$H$17</f>
        <v>0</v>
      </c>
      <c r="I22" s="449">
        <f t="shared" ref="I22:I32" si="9">I4*$I$17</f>
        <v>0</v>
      </c>
      <c r="J22" s="449">
        <f t="shared" ref="J22:J32" si="10">J4*$J$17</f>
        <v>61.450373438398501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23792.901164352836</v>
      </c>
    </row>
    <row r="23" spans="1:17">
      <c r="A23" s="448" t="s">
        <v>155</v>
      </c>
      <c r="B23" s="449">
        <f t="shared" ca="1" si="2"/>
        <v>1512.7597603388901</v>
      </c>
      <c r="C23" s="449">
        <f t="shared" ca="1" si="3"/>
        <v>0</v>
      </c>
      <c r="D23" s="449">
        <f t="shared" ca="1" si="4"/>
        <v>1820.0996376965461</v>
      </c>
      <c r="E23" s="449">
        <f t="shared" si="5"/>
        <v>6.1322166381170238</v>
      </c>
      <c r="F23" s="449">
        <f t="shared" ca="1" si="6"/>
        <v>320.57653675082025</v>
      </c>
      <c r="G23" s="449">
        <f t="shared" si="7"/>
        <v>0</v>
      </c>
      <c r="H23" s="449">
        <f t="shared" si="8"/>
        <v>0</v>
      </c>
      <c r="I23" s="449">
        <f t="shared" si="9"/>
        <v>0</v>
      </c>
      <c r="J23" s="449">
        <f t="shared" si="10"/>
        <v>2.7910566714851783E-3</v>
      </c>
      <c r="K23" s="449">
        <f t="shared" si="11"/>
        <v>0</v>
      </c>
      <c r="L23" s="449">
        <f t="shared" ca="1" si="12"/>
        <v>0</v>
      </c>
      <c r="M23" s="449">
        <f t="shared" si="13"/>
        <v>0</v>
      </c>
      <c r="N23" s="449">
        <f t="shared" ca="1" si="14"/>
        <v>0</v>
      </c>
      <c r="O23" s="449">
        <f t="shared" si="15"/>
        <v>0</v>
      </c>
      <c r="P23" s="450">
        <f t="shared" si="16"/>
        <v>0</v>
      </c>
      <c r="Q23" s="448">
        <f t="shared" ref="Q23:Q31" ca="1" si="17">SUM(B23:P23)</f>
        <v>3659.5709424810448</v>
      </c>
    </row>
    <row r="24" spans="1:17">
      <c r="A24" s="448" t="s">
        <v>193</v>
      </c>
      <c r="B24" s="449">
        <f t="shared" ca="1" si="2"/>
        <v>152.93420970015163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152.93420970015163</v>
      </c>
    </row>
    <row r="25" spans="1:17">
      <c r="A25" s="448" t="s">
        <v>111</v>
      </c>
      <c r="B25" s="449">
        <f t="shared" ca="1" si="2"/>
        <v>185.4190144620697</v>
      </c>
      <c r="C25" s="449">
        <f t="shared" ca="1" si="3"/>
        <v>460.76641544117649</v>
      </c>
      <c r="D25" s="449">
        <f t="shared" si="4"/>
        <v>33.057334688966989</v>
      </c>
      <c r="E25" s="449">
        <f t="shared" si="5"/>
        <v>8.8120134385705118</v>
      </c>
      <c r="F25" s="449">
        <f t="shared" si="6"/>
        <v>31.369778031627526</v>
      </c>
      <c r="G25" s="449">
        <f t="shared" si="7"/>
        <v>0</v>
      </c>
      <c r="H25" s="449">
        <f t="shared" si="8"/>
        <v>0</v>
      </c>
      <c r="I25" s="449">
        <f t="shared" si="9"/>
        <v>0</v>
      </c>
      <c r="J25" s="449">
        <f t="shared" si="10"/>
        <v>96.730186578405068</v>
      </c>
      <c r="K25" s="449">
        <f t="shared" si="11"/>
        <v>0</v>
      </c>
      <c r="L25" s="449">
        <f t="shared" si="12"/>
        <v>0</v>
      </c>
      <c r="M25" s="449">
        <f t="shared" si="13"/>
        <v>0</v>
      </c>
      <c r="N25" s="449">
        <f t="shared" si="14"/>
        <v>0</v>
      </c>
      <c r="O25" s="449">
        <f t="shared" si="15"/>
        <v>0</v>
      </c>
      <c r="P25" s="450">
        <f t="shared" si="16"/>
        <v>0</v>
      </c>
      <c r="Q25" s="448">
        <f t="shared" ca="1" si="17"/>
        <v>816.15474264081627</v>
      </c>
    </row>
    <row r="26" spans="1:17">
      <c r="A26" s="448" t="s">
        <v>618</v>
      </c>
      <c r="B26" s="449">
        <f t="shared" ca="1" si="2"/>
        <v>1242.1378734612858</v>
      </c>
      <c r="C26" s="449">
        <f t="shared" ca="1" si="3"/>
        <v>0</v>
      </c>
      <c r="D26" s="449">
        <f t="shared" si="4"/>
        <v>1704.621757638469</v>
      </c>
      <c r="E26" s="449">
        <f t="shared" si="5"/>
        <v>3.6544532343807616</v>
      </c>
      <c r="F26" s="449">
        <f t="shared" si="6"/>
        <v>351.70723857996256</v>
      </c>
      <c r="G26" s="449">
        <f t="shared" si="7"/>
        <v>0</v>
      </c>
      <c r="H26" s="449">
        <f t="shared" si="8"/>
        <v>0</v>
      </c>
      <c r="I26" s="449">
        <f t="shared" si="9"/>
        <v>0</v>
      </c>
      <c r="J26" s="449">
        <f t="shared" si="10"/>
        <v>8.7883456314330852E-2</v>
      </c>
      <c r="K26" s="449">
        <f t="shared" si="11"/>
        <v>0</v>
      </c>
      <c r="L26" s="449">
        <f t="shared" si="12"/>
        <v>0</v>
      </c>
      <c r="M26" s="449">
        <f t="shared" si="13"/>
        <v>0</v>
      </c>
      <c r="N26" s="449">
        <f t="shared" si="14"/>
        <v>0</v>
      </c>
      <c r="O26" s="449">
        <f t="shared" si="15"/>
        <v>0</v>
      </c>
      <c r="P26" s="450">
        <f t="shared" si="16"/>
        <v>0</v>
      </c>
      <c r="Q26" s="448">
        <f t="shared" ca="1" si="17"/>
        <v>3302.2092063704131</v>
      </c>
    </row>
    <row r="27" spans="1:17" s="454" customFormat="1">
      <c r="A27" s="452" t="s">
        <v>544</v>
      </c>
      <c r="B27" s="771">
        <f t="shared" ca="1" si="2"/>
        <v>17.514085573422872</v>
      </c>
      <c r="C27" s="453">
        <f t="shared" ca="1" si="3"/>
        <v>0</v>
      </c>
      <c r="D27" s="453">
        <f t="shared" si="4"/>
        <v>38.29735802628656</v>
      </c>
      <c r="E27" s="453">
        <f t="shared" si="5"/>
        <v>23.465166087270038</v>
      </c>
      <c r="F27" s="453">
        <f t="shared" si="6"/>
        <v>0</v>
      </c>
      <c r="G27" s="453">
        <f t="shared" si="7"/>
        <v>12259.445610737521</v>
      </c>
      <c r="H27" s="453">
        <f t="shared" si="8"/>
        <v>2859.995551606391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15198.717772030892</v>
      </c>
    </row>
    <row r="28" spans="1:17" ht="16.5" customHeight="1">
      <c r="A28" s="448" t="s">
        <v>534</v>
      </c>
      <c r="B28" s="449">
        <f t="shared" ca="1" si="2"/>
        <v>1.4003126734331373</v>
      </c>
      <c r="C28" s="449">
        <f t="shared" ca="1" si="3"/>
        <v>0</v>
      </c>
      <c r="D28" s="449">
        <f t="shared" si="4"/>
        <v>0</v>
      </c>
      <c r="E28" s="449">
        <f t="shared" si="5"/>
        <v>0</v>
      </c>
      <c r="F28" s="449">
        <f t="shared" si="6"/>
        <v>0</v>
      </c>
      <c r="G28" s="449">
        <f t="shared" si="7"/>
        <v>149.8196834927646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151.21999616619775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82.218099052360387</v>
      </c>
      <c r="C32" s="449">
        <f t="shared" ca="1" si="3"/>
        <v>0</v>
      </c>
      <c r="D32" s="449">
        <f t="shared" si="4"/>
        <v>130.53922238143929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212.75732143379969</v>
      </c>
    </row>
    <row r="33" spans="1:17" s="460" customFormat="1">
      <c r="A33" s="458" t="s">
        <v>538</v>
      </c>
      <c r="B33" s="459">
        <f ca="1">SUM(B22:B32)</f>
        <v>8037.2366330157629</v>
      </c>
      <c r="C33" s="459">
        <f t="shared" ref="C33:Q33" ca="1" si="19">SUM(C22:C32)</f>
        <v>460.76641544117649</v>
      </c>
      <c r="D33" s="459">
        <f t="shared" ca="1" si="19"/>
        <v>13004.057507040459</v>
      </c>
      <c r="E33" s="459">
        <f t="shared" si="19"/>
        <v>388.83257818698695</v>
      </c>
      <c r="F33" s="459">
        <f t="shared" ca="1" si="19"/>
        <v>9968.0401411253006</v>
      </c>
      <c r="G33" s="459">
        <f t="shared" si="19"/>
        <v>12409.265294230285</v>
      </c>
      <c r="H33" s="459">
        <f t="shared" si="19"/>
        <v>2859.995551606391</v>
      </c>
      <c r="I33" s="459">
        <f t="shared" si="19"/>
        <v>0</v>
      </c>
      <c r="J33" s="459">
        <f t="shared" si="19"/>
        <v>158.27123452978938</v>
      </c>
      <c r="K33" s="459">
        <f t="shared" si="19"/>
        <v>0</v>
      </c>
      <c r="L33" s="459">
        <f t="shared" ca="1" si="19"/>
        <v>0</v>
      </c>
      <c r="M33" s="459">
        <f t="shared" si="19"/>
        <v>0</v>
      </c>
      <c r="N33" s="459">
        <f t="shared" ca="1" si="19"/>
        <v>0</v>
      </c>
      <c r="O33" s="459">
        <f t="shared" si="19"/>
        <v>0</v>
      </c>
      <c r="P33" s="459">
        <f t="shared" si="19"/>
        <v>0</v>
      </c>
      <c r="Q33" s="459">
        <f t="shared" ca="1" si="19"/>
        <v>47286.465355176144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5390.658600469591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3911.6249999999995</v>
      </c>
      <c r="C8" s="1015">
        <f>'SEAP template'!C76</f>
        <v>1303.875</v>
      </c>
      <c r="D8" s="1015">
        <f>'SEAP template'!D76</f>
        <v>0</v>
      </c>
      <c r="E8" s="1015">
        <f>'SEAP template'!E76</f>
        <v>0</v>
      </c>
      <c r="F8" s="1015">
        <f>'SEAP template'!F76</f>
        <v>1533.9705882352941</v>
      </c>
      <c r="G8" s="1015">
        <f>'SEAP template'!G76</f>
        <v>0</v>
      </c>
      <c r="H8" s="1015">
        <f>'SEAP template'!H76</f>
        <v>0</v>
      </c>
      <c r="I8" s="1015">
        <f>'SEAP template'!I76</f>
        <v>4601.911764705882</v>
      </c>
      <c r="J8" s="1015">
        <f>'SEAP template'!J76</f>
        <v>0</v>
      </c>
      <c r="K8" s="1015">
        <f>'SEAP template'!K76</f>
        <v>0</v>
      </c>
      <c r="L8" s="1015">
        <f>'SEAP template'!L76</f>
        <v>0</v>
      </c>
      <c r="M8" s="1015">
        <f>'SEAP template'!M76</f>
        <v>0</v>
      </c>
      <c r="N8" s="1015">
        <f>'SEAP template'!N76</f>
        <v>0</v>
      </c>
      <c r="O8" s="1015">
        <f>'SEAP template'!O76</f>
        <v>0</v>
      </c>
      <c r="P8" s="1016">
        <f>'SEAP template'!Q76</f>
        <v>409.57014705882358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9302.283600469591</v>
      </c>
      <c r="C10" s="1017">
        <f>SUM(C4:C9)</f>
        <v>1303.875</v>
      </c>
      <c r="D10" s="1017">
        <f t="shared" ref="D10:H10" si="0">SUM(D8:D9)</f>
        <v>0</v>
      </c>
      <c r="E10" s="1017">
        <f t="shared" si="0"/>
        <v>0</v>
      </c>
      <c r="F10" s="1017">
        <f t="shared" si="0"/>
        <v>1533.9705882352941</v>
      </c>
      <c r="G10" s="1017">
        <f t="shared" si="0"/>
        <v>0</v>
      </c>
      <c r="H10" s="1017">
        <f t="shared" si="0"/>
        <v>0</v>
      </c>
      <c r="I10" s="1017">
        <f>SUM(I8:I9)</f>
        <v>4601.911764705882</v>
      </c>
      <c r="J10" s="1017">
        <f>SUM(J8:J9)</f>
        <v>0</v>
      </c>
      <c r="K10" s="1017">
        <f t="shared" ref="K10:L10" si="1">SUM(K8:K9)</f>
        <v>0</v>
      </c>
      <c r="L10" s="1017">
        <f t="shared" si="1"/>
        <v>0</v>
      </c>
      <c r="M10" s="1017">
        <f>SUM(M8:M9)</f>
        <v>0</v>
      </c>
      <c r="N10" s="1017">
        <f>SUM(N8:N9)</f>
        <v>0</v>
      </c>
      <c r="O10" s="1017">
        <f>SUM(O8:O9)</f>
        <v>0</v>
      </c>
      <c r="P10" s="1017">
        <f>SUM(P8:P9)</f>
        <v>409.57014705882358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0.17812832352253141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4400.5781250000009</v>
      </c>
      <c r="C17" s="1018">
        <f>'SEAP template'!C87</f>
        <v>1466.859375</v>
      </c>
      <c r="D17" s="1016">
        <f>'SEAP template'!D87</f>
        <v>0</v>
      </c>
      <c r="E17" s="1016">
        <f>'SEAP template'!E87</f>
        <v>0</v>
      </c>
      <c r="F17" s="1016">
        <f>'SEAP template'!F87</f>
        <v>1725.7169117647059</v>
      </c>
      <c r="G17" s="1016">
        <f>'SEAP template'!G87</f>
        <v>0</v>
      </c>
      <c r="H17" s="1016">
        <f>'SEAP template'!H87</f>
        <v>0</v>
      </c>
      <c r="I17" s="1016">
        <f>'SEAP template'!I87</f>
        <v>5177.150735294118</v>
      </c>
      <c r="J17" s="1016">
        <f>'SEAP template'!J87</f>
        <v>0</v>
      </c>
      <c r="K17" s="1016">
        <f>'SEAP template'!K87</f>
        <v>0</v>
      </c>
      <c r="L17" s="1016">
        <f>'SEAP template'!L87</f>
        <v>0</v>
      </c>
      <c r="M17" s="1016">
        <f>'SEAP template'!M87</f>
        <v>0</v>
      </c>
      <c r="N17" s="1016">
        <f>'SEAP template'!N87</f>
        <v>0</v>
      </c>
      <c r="O17" s="1016">
        <f>'SEAP template'!O87</f>
        <v>0</v>
      </c>
      <c r="P17" s="1016">
        <f>'SEAP template'!Q87</f>
        <v>460.76641544117649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4400.5781250000009</v>
      </c>
      <c r="C20" s="1017">
        <f>SUM(C17:C19)</f>
        <v>1466.859375</v>
      </c>
      <c r="D20" s="1017">
        <f t="shared" ref="D20:H20" si="2">SUM(D17:D19)</f>
        <v>0</v>
      </c>
      <c r="E20" s="1017">
        <f t="shared" si="2"/>
        <v>0</v>
      </c>
      <c r="F20" s="1017">
        <f t="shared" si="2"/>
        <v>1725.7169117647059</v>
      </c>
      <c r="G20" s="1017">
        <f t="shared" si="2"/>
        <v>0</v>
      </c>
      <c r="H20" s="1017">
        <f t="shared" si="2"/>
        <v>0</v>
      </c>
      <c r="I20" s="1017">
        <f>SUM(I17:I19)</f>
        <v>5177.150735294118</v>
      </c>
      <c r="J20" s="1017">
        <f>SUM(J17:J19)</f>
        <v>0</v>
      </c>
      <c r="K20" s="1017">
        <f t="shared" ref="K20:L20" si="3">SUM(K17:K19)</f>
        <v>0</v>
      </c>
      <c r="L20" s="1017">
        <f t="shared" si="3"/>
        <v>0</v>
      </c>
      <c r="M20" s="1017">
        <f>SUM(M17:M19)</f>
        <v>0</v>
      </c>
      <c r="N20" s="1017">
        <f>SUM(N17:N19)</f>
        <v>0</v>
      </c>
      <c r="O20" s="1017">
        <f>SUM(O17:O19)</f>
        <v>0</v>
      </c>
      <c r="P20" s="1017">
        <f>SUM(P17:P19)</f>
        <v>460.76641544117649</v>
      </c>
    </row>
    <row r="21" spans="1:16">
      <c r="B21" s="882"/>
    </row>
    <row r="22" spans="1:16">
      <c r="A22" s="461" t="s">
        <v>762</v>
      </c>
      <c r="B22" s="777" t="s">
        <v>760</v>
      </c>
      <c r="C22" s="777">
        <f ca="1">'EF ele_warmte'!B22</f>
        <v>7.8529411764705889E-2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0.17812832352253141</v>
      </c>
      <c r="C17" s="497">
        <f ca="1">'EF ele_warmte'!B22</f>
        <v>7.8529411764705889E-2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0.17812832352253141</v>
      </c>
      <c r="C17" s="497">
        <f ca="1">'EF ele_warmte'!B22</f>
        <v>7.8529411764705889E-2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0.17812832352253141</v>
      </c>
      <c r="C29" s="498">
        <f ca="1">'EF ele_warmte'!B22</f>
        <v>7.8529411764705889E-2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5882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959.93</v>
      </c>
      <c r="C14" s="326"/>
      <c r="D14" s="326"/>
      <c r="E14" s="326"/>
      <c r="F14" s="326"/>
    </row>
    <row r="15" spans="1:6">
      <c r="A15" s="1307" t="s">
        <v>183</v>
      </c>
      <c r="B15" s="1308">
        <v>12</v>
      </c>
      <c r="C15" s="326"/>
      <c r="D15" s="326"/>
      <c r="E15" s="326"/>
      <c r="F15" s="326"/>
    </row>
    <row r="16" spans="1:6">
      <c r="A16" s="1307" t="s">
        <v>6</v>
      </c>
      <c r="B16" s="1308">
        <v>265</v>
      </c>
      <c r="C16" s="326"/>
      <c r="D16" s="326"/>
      <c r="E16" s="326"/>
      <c r="F16" s="326"/>
    </row>
    <row r="17" spans="1:6">
      <c r="A17" s="1307" t="s">
        <v>7</v>
      </c>
      <c r="B17" s="1308">
        <v>247</v>
      </c>
      <c r="C17" s="326"/>
      <c r="D17" s="326"/>
      <c r="E17" s="326"/>
      <c r="F17" s="326"/>
    </row>
    <row r="18" spans="1:6">
      <c r="A18" s="1307" t="s">
        <v>8</v>
      </c>
      <c r="B18" s="1308">
        <v>279</v>
      </c>
      <c r="C18" s="326"/>
      <c r="D18" s="326"/>
      <c r="E18" s="326"/>
      <c r="F18" s="326"/>
    </row>
    <row r="19" spans="1:6">
      <c r="A19" s="1307" t="s">
        <v>9</v>
      </c>
      <c r="B19" s="1308">
        <v>318</v>
      </c>
      <c r="C19" s="326"/>
      <c r="D19" s="326"/>
      <c r="E19" s="326"/>
      <c r="F19" s="326"/>
    </row>
    <row r="20" spans="1:6">
      <c r="A20" s="1307" t="s">
        <v>10</v>
      </c>
      <c r="B20" s="1308">
        <v>254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273</v>
      </c>
      <c r="C26" s="326"/>
      <c r="D26" s="326"/>
      <c r="E26" s="326"/>
      <c r="F26" s="326"/>
    </row>
    <row r="27" spans="1:6">
      <c r="A27" s="1307" t="s">
        <v>17</v>
      </c>
      <c r="B27" s="1308">
        <v>0</v>
      </c>
      <c r="C27" s="326"/>
      <c r="D27" s="326"/>
      <c r="E27" s="326"/>
      <c r="F27" s="326"/>
    </row>
    <row r="28" spans="1:6" s="43" customFormat="1">
      <c r="A28" s="1309" t="s">
        <v>18</v>
      </c>
      <c r="B28" s="1310">
        <v>191</v>
      </c>
      <c r="C28" s="332"/>
      <c r="D28" s="332"/>
      <c r="E28" s="332"/>
      <c r="F28" s="332"/>
    </row>
    <row r="29" spans="1:6">
      <c r="A29" s="1309" t="s">
        <v>688</v>
      </c>
      <c r="B29" s="1310">
        <v>29</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32406.8404893234</v>
      </c>
    </row>
    <row r="39" spans="1:6">
      <c r="A39" s="1307" t="s">
        <v>29</v>
      </c>
      <c r="B39" s="1307" t="s">
        <v>30</v>
      </c>
      <c r="C39" s="1308">
        <v>3517</v>
      </c>
      <c r="D39" s="1308">
        <v>50861496.861993298</v>
      </c>
      <c r="E39" s="1308">
        <v>5886</v>
      </c>
      <c r="F39" s="1308">
        <v>22404683.8988631</v>
      </c>
    </row>
    <row r="40" spans="1:6">
      <c r="A40" s="1307" t="s">
        <v>29</v>
      </c>
      <c r="B40" s="1307" t="s">
        <v>28</v>
      </c>
      <c r="C40" s="1308">
        <v>0</v>
      </c>
      <c r="D40" s="1308">
        <v>0</v>
      </c>
      <c r="E40" s="1308">
        <v>0</v>
      </c>
      <c r="F40" s="1308">
        <v>0</v>
      </c>
    </row>
    <row r="41" spans="1:6">
      <c r="A41" s="1307" t="s">
        <v>31</v>
      </c>
      <c r="B41" s="1307" t="s">
        <v>32</v>
      </c>
      <c r="C41" s="1308">
        <v>70</v>
      </c>
      <c r="D41" s="1308">
        <v>4009065.4656111998</v>
      </c>
      <c r="E41" s="1308">
        <v>163</v>
      </c>
      <c r="F41" s="1308">
        <v>1969098.22089496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230839.482007652</v>
      </c>
      <c r="E44" s="1308">
        <v>16</v>
      </c>
      <c r="F44" s="1308">
        <v>256853.23782648699</v>
      </c>
    </row>
    <row r="45" spans="1:6">
      <c r="A45" s="1307" t="s">
        <v>31</v>
      </c>
      <c r="B45" s="1307" t="s">
        <v>36</v>
      </c>
      <c r="C45" s="1308">
        <v>0</v>
      </c>
      <c r="D45" s="1308">
        <v>0</v>
      </c>
      <c r="E45" s="1308">
        <v>4</v>
      </c>
      <c r="F45" s="1308">
        <v>409010.19650611101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26808.600898712401</v>
      </c>
      <c r="E48" s="1308">
        <v>1</v>
      </c>
      <c r="F48" s="1308">
        <v>10059</v>
      </c>
    </row>
    <row r="49" spans="1:6">
      <c r="A49" s="1307" t="s">
        <v>31</v>
      </c>
      <c r="B49" s="1307" t="s">
        <v>39</v>
      </c>
      <c r="C49" s="1308">
        <v>4</v>
      </c>
      <c r="D49" s="1308">
        <v>264854.97128285898</v>
      </c>
      <c r="E49" s="1308">
        <v>3</v>
      </c>
      <c r="F49" s="1308">
        <v>2272289.2507740101</v>
      </c>
    </row>
    <row r="50" spans="1:6">
      <c r="A50" s="1307" t="s">
        <v>31</v>
      </c>
      <c r="B50" s="1307" t="s">
        <v>40</v>
      </c>
      <c r="C50" s="1308">
        <v>4</v>
      </c>
      <c r="D50" s="1308">
        <v>4813638.0942280004</v>
      </c>
      <c r="E50" s="1308">
        <v>10</v>
      </c>
      <c r="F50" s="1308">
        <v>2055965.5894261301</v>
      </c>
    </row>
    <row r="51" spans="1:6">
      <c r="A51" s="1307" t="s">
        <v>41</v>
      </c>
      <c r="B51" s="1307" t="s">
        <v>42</v>
      </c>
      <c r="C51" s="1308">
        <v>8</v>
      </c>
      <c r="D51" s="1308">
        <v>181229.42605488299</v>
      </c>
      <c r="E51" s="1308">
        <v>50</v>
      </c>
      <c r="F51" s="1308">
        <v>1040929.43107173</v>
      </c>
    </row>
    <row r="52" spans="1:6">
      <c r="A52" s="1307" t="s">
        <v>41</v>
      </c>
      <c r="B52" s="1307" t="s">
        <v>28</v>
      </c>
      <c r="C52" s="1308">
        <v>0</v>
      </c>
      <c r="D52" s="1308">
        <v>0</v>
      </c>
      <c r="E52" s="1308">
        <v>0</v>
      </c>
      <c r="F52" s="1308">
        <v>0</v>
      </c>
    </row>
    <row r="53" spans="1:6">
      <c r="A53" s="1307" t="s">
        <v>43</v>
      </c>
      <c r="B53" s="1307" t="s">
        <v>44</v>
      </c>
      <c r="C53" s="1308">
        <v>62</v>
      </c>
      <c r="D53" s="1308">
        <v>646233.77416554105</v>
      </c>
      <c r="E53" s="1308">
        <v>195</v>
      </c>
      <c r="F53" s="1308">
        <v>461566.68084264902</v>
      </c>
    </row>
    <row r="54" spans="1:6">
      <c r="A54" s="1307" t="s">
        <v>45</v>
      </c>
      <c r="B54" s="1307" t="s">
        <v>46</v>
      </c>
      <c r="C54" s="1308">
        <v>0</v>
      </c>
      <c r="D54" s="1308">
        <v>0</v>
      </c>
      <c r="E54" s="1308">
        <v>1</v>
      </c>
      <c r="F54" s="1308">
        <v>858562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37</v>
      </c>
      <c r="D57" s="1308">
        <v>995775.30791943904</v>
      </c>
      <c r="E57" s="1308">
        <v>76</v>
      </c>
      <c r="F57" s="1308">
        <v>798347.96446180099</v>
      </c>
    </row>
    <row r="58" spans="1:6">
      <c r="A58" s="1307" t="s">
        <v>48</v>
      </c>
      <c r="B58" s="1307" t="s">
        <v>50</v>
      </c>
      <c r="C58" s="1308">
        <v>17</v>
      </c>
      <c r="D58" s="1308">
        <v>960542.86976383999</v>
      </c>
      <c r="E58" s="1308">
        <v>25</v>
      </c>
      <c r="F58" s="1308">
        <v>369495.22195060301</v>
      </c>
    </row>
    <row r="59" spans="1:6">
      <c r="A59" s="1307" t="s">
        <v>48</v>
      </c>
      <c r="B59" s="1307" t="s">
        <v>51</v>
      </c>
      <c r="C59" s="1308">
        <v>64</v>
      </c>
      <c r="D59" s="1308">
        <v>3374674.19411078</v>
      </c>
      <c r="E59" s="1308">
        <v>167</v>
      </c>
      <c r="F59" s="1308">
        <v>4312932.6439003199</v>
      </c>
    </row>
    <row r="60" spans="1:6">
      <c r="A60" s="1307" t="s">
        <v>48</v>
      </c>
      <c r="B60" s="1307" t="s">
        <v>52</v>
      </c>
      <c r="C60" s="1308">
        <v>29</v>
      </c>
      <c r="D60" s="1308">
        <v>1108497.1056373899</v>
      </c>
      <c r="E60" s="1308">
        <v>42</v>
      </c>
      <c r="F60" s="1308">
        <v>793664.75969905802</v>
      </c>
    </row>
    <row r="61" spans="1:6">
      <c r="A61" s="1307" t="s">
        <v>48</v>
      </c>
      <c r="B61" s="1307" t="s">
        <v>53</v>
      </c>
      <c r="C61" s="1308">
        <v>109</v>
      </c>
      <c r="D61" s="1308">
        <v>2334606.3742076699</v>
      </c>
      <c r="E61" s="1308">
        <v>233</v>
      </c>
      <c r="F61" s="1308">
        <v>1763381.04817848</v>
      </c>
    </row>
    <row r="62" spans="1:6">
      <c r="A62" s="1307" t="s">
        <v>48</v>
      </c>
      <c r="B62" s="1307" t="s">
        <v>54</v>
      </c>
      <c r="C62" s="1308">
        <v>8</v>
      </c>
      <c r="D62" s="1308">
        <v>1204192.3499361901</v>
      </c>
      <c r="E62" s="1308">
        <v>14</v>
      </c>
      <c r="F62" s="1308">
        <v>454706.27889610402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41133.891649822799</v>
      </c>
      <c r="E65" s="1308">
        <v>0</v>
      </c>
      <c r="F65" s="1308">
        <v>0</v>
      </c>
    </row>
    <row r="66" spans="1:6">
      <c r="A66" s="1307" t="s">
        <v>55</v>
      </c>
      <c r="B66" s="1307" t="s">
        <v>57</v>
      </c>
      <c r="C66" s="1308">
        <v>0</v>
      </c>
      <c r="D66" s="1308">
        <v>0</v>
      </c>
      <c r="E66" s="1308">
        <v>4</v>
      </c>
      <c r="F66" s="1308">
        <v>8154</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25905.776340830798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42361987</v>
      </c>
      <c r="E73" s="447"/>
      <c r="F73" s="326"/>
    </row>
    <row r="74" spans="1:6">
      <c r="A74" s="1307" t="s">
        <v>63</v>
      </c>
      <c r="B74" s="1307" t="s">
        <v>639</v>
      </c>
      <c r="C74" s="1321" t="s">
        <v>641</v>
      </c>
      <c r="D74" s="1322">
        <v>4076691.5858681314</v>
      </c>
      <c r="E74" s="447"/>
      <c r="F74" s="326"/>
    </row>
    <row r="75" spans="1:6">
      <c r="A75" s="1307" t="s">
        <v>64</v>
      </c>
      <c r="B75" s="1307" t="s">
        <v>638</v>
      </c>
      <c r="C75" s="1321" t="s">
        <v>642</v>
      </c>
      <c r="D75" s="1322">
        <v>21361992</v>
      </c>
      <c r="E75" s="447"/>
      <c r="F75" s="326"/>
    </row>
    <row r="76" spans="1:6">
      <c r="A76" s="1307" t="s">
        <v>64</v>
      </c>
      <c r="B76" s="1307" t="s">
        <v>639</v>
      </c>
      <c r="C76" s="1321" t="s">
        <v>643</v>
      </c>
      <c r="D76" s="1322">
        <v>1493738.5858681316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166162.828263737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4782.7570537351994</v>
      </c>
      <c r="C91" s="326"/>
      <c r="D91" s="326"/>
      <c r="E91" s="326"/>
      <c r="F91" s="326"/>
    </row>
    <row r="92" spans="1:6">
      <c r="A92" s="1302" t="s">
        <v>68</v>
      </c>
      <c r="B92" s="1303">
        <v>607.90154673439122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991</v>
      </c>
      <c r="C97" s="326"/>
      <c r="D97" s="326"/>
      <c r="E97" s="326"/>
      <c r="F97" s="326"/>
    </row>
    <row r="98" spans="1:6">
      <c r="A98" s="1307" t="s">
        <v>71</v>
      </c>
      <c r="B98" s="1308">
        <v>4</v>
      </c>
      <c r="C98" s="326"/>
      <c r="D98" s="326"/>
      <c r="E98" s="326"/>
      <c r="F98" s="326"/>
    </row>
    <row r="99" spans="1:6">
      <c r="A99" s="1307" t="s">
        <v>72</v>
      </c>
      <c r="B99" s="1308">
        <v>32</v>
      </c>
      <c r="C99" s="326"/>
      <c r="D99" s="326"/>
      <c r="E99" s="326"/>
      <c r="F99" s="326"/>
    </row>
    <row r="100" spans="1:6">
      <c r="A100" s="1307" t="s">
        <v>73</v>
      </c>
      <c r="B100" s="1308">
        <v>641</v>
      </c>
      <c r="C100" s="326"/>
      <c r="D100" s="326"/>
      <c r="E100" s="326"/>
      <c r="F100" s="326"/>
    </row>
    <row r="101" spans="1:6">
      <c r="A101" s="1307" t="s">
        <v>74</v>
      </c>
      <c r="B101" s="1308">
        <v>54</v>
      </c>
      <c r="C101" s="326"/>
      <c r="D101" s="326"/>
      <c r="E101" s="326"/>
      <c r="F101" s="326"/>
    </row>
    <row r="102" spans="1:6">
      <c r="A102" s="1307" t="s">
        <v>75</v>
      </c>
      <c r="B102" s="1308">
        <v>59</v>
      </c>
      <c r="C102" s="326"/>
      <c r="D102" s="326"/>
      <c r="E102" s="326"/>
      <c r="F102" s="326"/>
    </row>
    <row r="103" spans="1:6">
      <c r="A103" s="1307" t="s">
        <v>76</v>
      </c>
      <c r="B103" s="1308">
        <v>73</v>
      </c>
      <c r="C103" s="326"/>
      <c r="D103" s="326"/>
      <c r="E103" s="326"/>
      <c r="F103" s="326"/>
    </row>
    <row r="104" spans="1:6">
      <c r="A104" s="1307" t="s">
        <v>77</v>
      </c>
      <c r="B104" s="1308">
        <v>2565</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33</v>
      </c>
      <c r="C123" s="1308">
        <v>23</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108</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45120.486591224966</v>
      </c>
      <c r="C3" s="43" t="s">
        <v>169</v>
      </c>
      <c r="D3" s="43"/>
      <c r="E3" s="154"/>
      <c r="F3" s="43"/>
      <c r="G3" s="43"/>
      <c r="H3" s="43"/>
      <c r="I3" s="43"/>
      <c r="J3" s="43"/>
      <c r="K3" s="96"/>
    </row>
    <row r="4" spans="1:11">
      <c r="A4" s="354" t="s">
        <v>170</v>
      </c>
      <c r="B4" s="49">
        <f>IF(ISERROR('SEAP template'!B78+'SEAP template'!C78),0,'SEAP template'!B78+'SEAP template'!C78)</f>
        <v>10606.158600469591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409.57014705882358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0.17812832352253141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460.76641544117649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5867.4375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7.8529411764705889E-2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858.56200000000001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858.56200000000001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0.17812832352253141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152.93420970015163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22404.683898863099</v>
      </c>
      <c r="C5" s="17">
        <f>IF(ISERROR('Eigen informatie GS &amp; warmtenet'!B59),0,'Eigen informatie GS &amp; warmtenet'!B59)</f>
        <v>0</v>
      </c>
      <c r="D5" s="30">
        <f>(SUM(HH_hh_gas_kWh,HH_rest_gas_kWh)/1000)*0.903</f>
        <v>45927.931666379947</v>
      </c>
      <c r="E5" s="17">
        <f>B32*B41</f>
        <v>1527.6155453244432</v>
      </c>
      <c r="F5" s="17">
        <f>B36*B45</f>
        <v>34698.077107726182</v>
      </c>
      <c r="G5" s="18"/>
      <c r="H5" s="17"/>
      <c r="I5" s="17"/>
      <c r="J5" s="17">
        <f>B35*B44+C35*C44</f>
        <v>173.58862553219916</v>
      </c>
      <c r="K5" s="17"/>
      <c r="L5" s="17"/>
      <c r="M5" s="17"/>
      <c r="N5" s="17">
        <f>B34*B43+C34*C43</f>
        <v>8092.4911971602323</v>
      </c>
      <c r="O5" s="17">
        <f>B52*B53*B54</f>
        <v>259.8985267397012</v>
      </c>
      <c r="P5" s="17">
        <f>B60*B61*B62/1000-B60*B61*B62/1000/B63</f>
        <v>853.25070392248676</v>
      </c>
    </row>
    <row r="6" spans="1:16">
      <c r="A6" s="16" t="s">
        <v>604</v>
      </c>
      <c r="B6" s="779">
        <f>kWh_PV_kleiner_dan_10kW</f>
        <v>4782.7570537351994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27187.440952598299</v>
      </c>
      <c r="C8" s="21">
        <f>C5</f>
        <v>0</v>
      </c>
      <c r="D8" s="21">
        <f>D5</f>
        <v>45927.931666379947</v>
      </c>
      <c r="E8" s="21">
        <f>E5</f>
        <v>1527.6155453244432</v>
      </c>
      <c r="F8" s="21">
        <f>F5</f>
        <v>34698.077107726182</v>
      </c>
      <c r="G8" s="21"/>
      <c r="H8" s="21"/>
      <c r="I8" s="21"/>
      <c r="J8" s="21">
        <f>J5</f>
        <v>173.58862553219916</v>
      </c>
      <c r="K8" s="21"/>
      <c r="L8" s="21">
        <f>L5</f>
        <v>0</v>
      </c>
      <c r="M8" s="21">
        <f>M5</f>
        <v>0</v>
      </c>
      <c r="N8" s="21">
        <f>N5</f>
        <v>8092.4911971602323</v>
      </c>
      <c r="O8" s="21">
        <f>O5</f>
        <v>259.8985267397012</v>
      </c>
      <c r="P8" s="21">
        <f>P5</f>
        <v>853.25070392248676</v>
      </c>
    </row>
    <row r="9" spans="1:16">
      <c r="B9" s="19"/>
      <c r="C9" s="19"/>
      <c r="D9" s="254"/>
      <c r="E9" s="19"/>
      <c r="F9" s="19"/>
      <c r="G9" s="19"/>
      <c r="H9" s="19"/>
      <c r="I9" s="19"/>
      <c r="J9" s="19"/>
      <c r="K9" s="19"/>
      <c r="L9" s="19"/>
      <c r="M9" s="19"/>
      <c r="N9" s="19"/>
      <c r="O9" s="19"/>
      <c r="P9" s="19"/>
    </row>
    <row r="10" spans="1:16">
      <c r="A10" s="24" t="s">
        <v>213</v>
      </c>
      <c r="B10" s="25">
        <f ca="1">'EF ele_warmte'!B12</f>
        <v>0.17812832352253141</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4842.8532777541495</v>
      </c>
      <c r="C12" s="23">
        <f ca="1">C10*C8</f>
        <v>0</v>
      </c>
      <c r="D12" s="23">
        <f>D8*D10</f>
        <v>9277.4421966087502</v>
      </c>
      <c r="E12" s="23">
        <f>E10*E8</f>
        <v>346.76872878864862</v>
      </c>
      <c r="F12" s="23">
        <f>F10*F8</f>
        <v>9264.3865877628905</v>
      </c>
      <c r="G12" s="23"/>
      <c r="H12" s="23"/>
      <c r="I12" s="23"/>
      <c r="J12" s="23">
        <f>J10*J8</f>
        <v>61.450373438398501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5882</v>
      </c>
      <c r="C26" s="36"/>
      <c r="D26" s="225"/>
    </row>
    <row r="27" spans="1:5" s="15" customFormat="1">
      <c r="A27" s="227" t="s">
        <v>817</v>
      </c>
      <c r="B27" s="37">
        <f>SUM(HH_hh_gas_aantal,HH_rest_gas_aantal)</f>
        <v>3517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3341.15</v>
      </c>
      <c r="C31" s="34" t="s">
        <v>110</v>
      </c>
      <c r="D31" s="171"/>
    </row>
    <row r="32" spans="1:5">
      <c r="A32" s="168" t="s">
        <v>72</v>
      </c>
      <c r="B32" s="33">
        <f>IF((B21*($B$26-($B$27-0.05*$B$27)-$B$60))&lt;0,0,B21*($B$26-($B$27-0.05*$B$27)-$B$60))</f>
        <v>37.860434476642524</v>
      </c>
      <c r="C32" s="34" t="s">
        <v>110</v>
      </c>
      <c r="D32" s="171"/>
    </row>
    <row r="33" spans="1:6">
      <c r="A33" s="168" t="s">
        <v>73</v>
      </c>
      <c r="B33" s="33">
        <f>IF((B22*($B$26-($B$27-0.05*$B$27)-$B$60))&lt;0,0,B22*($B$26-($B$27-0.05*$B$27)-$B$60))</f>
        <v>614.7784724871841</v>
      </c>
      <c r="C33" s="34" t="s">
        <v>110</v>
      </c>
      <c r="D33" s="171"/>
    </row>
    <row r="34" spans="1:6">
      <c r="A34" s="168" t="s">
        <v>74</v>
      </c>
      <c r="B34" s="33">
        <f>IF((B24*($B$26-($B$27-0.05*$B$27)-$B$60))&lt;0,0,B24*($B$26-($B$27-0.05*$B$27)-$B$60))</f>
        <v>117.75968931403827</v>
      </c>
      <c r="C34" s="33">
        <f>B26*C24</f>
        <v>1204.4800805747914</v>
      </c>
      <c r="D34" s="230"/>
    </row>
    <row r="35" spans="1:6">
      <c r="A35" s="168" t="s">
        <v>76</v>
      </c>
      <c r="B35" s="33">
        <f>IF((B19*($B$26-($B$27-0.05*$B$27)-$B$60))&lt;0,0,B19*($B$26-($B$27-0.05*$B$27)-$B$60))</f>
        <v>16.457840605250123</v>
      </c>
      <c r="C35" s="33">
        <f>B35/2</f>
        <v>8.2289203026250615</v>
      </c>
      <c r="D35" s="230"/>
    </row>
    <row r="36" spans="1:6">
      <c r="A36" s="168" t="s">
        <v>77</v>
      </c>
      <c r="B36" s="33">
        <f>IF((B18*($B$26-($B$27-0.05*$B$27)-$B$60))&lt;0,0,B18*($B$26-($B$27-0.05*$B$27)-$B$60))</f>
        <v>1672.9935631168842</v>
      </c>
      <c r="C36" s="34" t="s">
        <v>110</v>
      </c>
      <c r="D36" s="171"/>
    </row>
    <row r="37" spans="1:6">
      <c r="A37" s="168" t="s">
        <v>78</v>
      </c>
      <c r="B37" s="33">
        <f>B60</f>
        <v>81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8492.5279170863669</v>
      </c>
      <c r="C5" s="17">
        <f>IF(ISERROR('Eigen informatie GS &amp; warmtenet'!B60),0,'Eigen informatie GS &amp; warmtenet'!B60)</f>
        <v>0</v>
      </c>
      <c r="D5" s="30">
        <f>SUM(D6:D12)</f>
        <v>9010.3942460225044</v>
      </c>
      <c r="E5" s="17">
        <f>SUM(E6:E12)</f>
        <v>27.014170211969265</v>
      </c>
      <c r="F5" s="17">
        <f>SUM(F6:F12)</f>
        <v>1200.66118633266</v>
      </c>
      <c r="G5" s="18"/>
      <c r="H5" s="17"/>
      <c r="I5" s="17"/>
      <c r="J5" s="17">
        <f>SUM(J6:J12)</f>
        <v>7.8843408799016343E-3</v>
      </c>
      <c r="K5" s="17"/>
      <c r="L5" s="17"/>
      <c r="M5" s="17"/>
      <c r="N5" s="17">
        <f>SUM(N6:N12)</f>
        <v>291.64205869039938</v>
      </c>
      <c r="O5" s="17">
        <f>B38*B39*B40</f>
        <v>4.8972607658411542</v>
      </c>
      <c r="P5" s="17">
        <f>B46*B47*B48/1000-B46*B47*B48/1000/B49</f>
        <v>105.07827661299004</v>
      </c>
      <c r="R5" s="32"/>
    </row>
    <row r="6" spans="1:18">
      <c r="A6" s="32" t="s">
        <v>53</v>
      </c>
      <c r="B6" s="37">
        <f>B26</f>
        <v>1763.3810481784801</v>
      </c>
      <c r="C6" s="33"/>
      <c r="D6" s="37">
        <f>IF(ISERROR(TER_kantoor_gas_kWh/1000),0,TER_kantoor_gas_kWh/1000)*0.903</f>
        <v>2108.149555909526</v>
      </c>
      <c r="E6" s="33">
        <f>$C$26*'E Balans VL '!I12/100/3.6*1000000</f>
        <v>0.42246418424783266</v>
      </c>
      <c r="F6" s="33">
        <f>$C$26*('E Balans VL '!L12+'E Balans VL '!N12)/100/3.6*1000000</f>
        <v>167.21935365239509</v>
      </c>
      <c r="G6" s="34"/>
      <c r="H6" s="33"/>
      <c r="I6" s="33"/>
      <c r="J6" s="33">
        <f>$C$26*('E Balans VL '!D12+'E Balans VL '!E12)/100/3.6*1000000</f>
        <v>0</v>
      </c>
      <c r="K6" s="33"/>
      <c r="L6" s="33"/>
      <c r="M6" s="33"/>
      <c r="N6" s="33">
        <f>$C$26*'E Balans VL '!Y12/100/3.6*1000000</f>
        <v>0.89570636388970759</v>
      </c>
      <c r="O6" s="33"/>
      <c r="P6" s="33"/>
      <c r="R6" s="32"/>
    </row>
    <row r="7" spans="1:18">
      <c r="A7" s="32" t="s">
        <v>52</v>
      </c>
      <c r="B7" s="37">
        <f t="shared" ref="B7:B12" si="0">B27</f>
        <v>793.66475969905798</v>
      </c>
      <c r="C7" s="33"/>
      <c r="D7" s="37">
        <f>IF(ISERROR(TER_horeca_gas_kWh/1000),0,TER_horeca_gas_kWh/1000)*0.903</f>
        <v>1000.9728863905632</v>
      </c>
      <c r="E7" s="33">
        <f>$C$27*'E Balans VL '!I9/100/3.6*1000000</f>
        <v>0</v>
      </c>
      <c r="F7" s="33">
        <f>$C$27*('E Balans VL '!L9+'E Balans VL '!N9)/100/3.6*1000000</f>
        <v>65.078644636065647</v>
      </c>
      <c r="G7" s="34"/>
      <c r="H7" s="33"/>
      <c r="I7" s="33"/>
      <c r="J7" s="33">
        <f>$C$27*('E Balans VL '!D9+'E Balans VL '!E9)/100/3.6*1000000</f>
        <v>0</v>
      </c>
      <c r="K7" s="33"/>
      <c r="L7" s="33"/>
      <c r="M7" s="33"/>
      <c r="N7" s="33">
        <f>$C$27*'E Balans VL '!Y9/100/3.6*1000000</f>
        <v>0.24329013595940671</v>
      </c>
      <c r="O7" s="33"/>
      <c r="P7" s="33"/>
      <c r="R7" s="32"/>
    </row>
    <row r="8" spans="1:18">
      <c r="A8" s="6" t="s">
        <v>51</v>
      </c>
      <c r="B8" s="37">
        <f t="shared" si="0"/>
        <v>4312.9326439003198</v>
      </c>
      <c r="C8" s="33"/>
      <c r="D8" s="37">
        <f>IF(ISERROR(TER_handel_gas_kWh/1000),0,TER_handel_gas_kWh/1000)*0.903</f>
        <v>3047.3307972820344</v>
      </c>
      <c r="E8" s="33">
        <f>$C$28*'E Balans VL '!I13/100/3.6*1000000</f>
        <v>15.157600996592901</v>
      </c>
      <c r="F8" s="33">
        <f>$C$28*('E Balans VL '!L13+'E Balans VL '!N13)/100/3.6*1000000</f>
        <v>394.62559161269201</v>
      </c>
      <c r="G8" s="34"/>
      <c r="H8" s="33"/>
      <c r="I8" s="33"/>
      <c r="J8" s="33">
        <f>$C$28*('E Balans VL '!D13+'E Balans VL '!E13)/100/3.6*1000000</f>
        <v>0</v>
      </c>
      <c r="K8" s="33"/>
      <c r="L8" s="33"/>
      <c r="M8" s="33"/>
      <c r="N8" s="33">
        <f>$C$28*'E Balans VL '!Y13/100/3.6*1000000</f>
        <v>1.5619585249214185</v>
      </c>
      <c r="O8" s="33"/>
      <c r="P8" s="33"/>
      <c r="R8" s="32"/>
    </row>
    <row r="9" spans="1:18">
      <c r="A9" s="32" t="s">
        <v>50</v>
      </c>
      <c r="B9" s="37">
        <f t="shared" si="0"/>
        <v>369.49522195060302</v>
      </c>
      <c r="C9" s="33"/>
      <c r="D9" s="37">
        <f>IF(ISERROR(TER_gezond_gas_kWh/1000),0,TER_gezond_gas_kWh/1000)*0.903</f>
        <v>867.37021139674755</v>
      </c>
      <c r="E9" s="33">
        <f>$C$29*'E Balans VL '!I10/100/3.6*1000000</f>
        <v>0</v>
      </c>
      <c r="F9" s="33">
        <f>$C$29*('E Balans VL '!L10+'E Balans VL '!N10)/100/3.6*1000000</f>
        <v>45.293329189493633</v>
      </c>
      <c r="G9" s="34"/>
      <c r="H9" s="33"/>
      <c r="I9" s="33"/>
      <c r="J9" s="33">
        <f>$C$29*('E Balans VL '!D10+'E Balans VL '!E10)/100/3.6*1000000</f>
        <v>0</v>
      </c>
      <c r="K9" s="33"/>
      <c r="L9" s="33"/>
      <c r="M9" s="33"/>
      <c r="N9" s="33">
        <f>$C$29*'E Balans VL '!Y10/100/3.6*1000000</f>
        <v>2.7247697773536506</v>
      </c>
      <c r="O9" s="33"/>
      <c r="P9" s="33"/>
      <c r="R9" s="32"/>
    </row>
    <row r="10" spans="1:18">
      <c r="A10" s="32" t="s">
        <v>49</v>
      </c>
      <c r="B10" s="37">
        <f t="shared" si="0"/>
        <v>798.34796446180098</v>
      </c>
      <c r="C10" s="33"/>
      <c r="D10" s="37">
        <f>IF(ISERROR(TER_ander_gas_kWh/1000),0,TER_ander_gas_kWh/1000)*0.903</f>
        <v>899.18510305125346</v>
      </c>
      <c r="E10" s="33">
        <f>$C$30*'E Balans VL '!I14/100/3.6*1000000</f>
        <v>11.434105031128533</v>
      </c>
      <c r="F10" s="33">
        <f>$C$30*('E Balans VL '!L14+'E Balans VL '!N14)/100/3.6*1000000</f>
        <v>475.28368840899242</v>
      </c>
      <c r="G10" s="34"/>
      <c r="H10" s="33"/>
      <c r="I10" s="33"/>
      <c r="J10" s="33">
        <f>$C$30*('E Balans VL '!D14+'E Balans VL '!E14)/100/3.6*1000000</f>
        <v>7.8843408799016343E-3</v>
      </c>
      <c r="K10" s="33"/>
      <c r="L10" s="33"/>
      <c r="M10" s="33"/>
      <c r="N10" s="33">
        <f>$C$30*'E Balans VL '!Y14/100/3.6*1000000</f>
        <v>284.93593322137929</v>
      </c>
      <c r="O10" s="33"/>
      <c r="P10" s="33"/>
      <c r="R10" s="32"/>
    </row>
    <row r="11" spans="1:18">
      <c r="A11" s="32" t="s">
        <v>54</v>
      </c>
      <c r="B11" s="37">
        <f t="shared" si="0"/>
        <v>454.70627889610404</v>
      </c>
      <c r="C11" s="33"/>
      <c r="D11" s="37">
        <f>IF(ISERROR(TER_onderwijs_gas_kWh/1000),0,TER_onderwijs_gas_kWh/1000)*0.903</f>
        <v>1087.3856919923796</v>
      </c>
      <c r="E11" s="33">
        <f>$C$31*'E Balans VL '!I11/100/3.6*1000000</f>
        <v>0</v>
      </c>
      <c r="F11" s="33">
        <f>$C$31*('E Balans VL '!L11+'E Balans VL '!N11)/100/3.6*1000000</f>
        <v>53.160578833021113</v>
      </c>
      <c r="G11" s="34"/>
      <c r="H11" s="33"/>
      <c r="I11" s="33"/>
      <c r="J11" s="33">
        <f>$C$31*('E Balans VL '!D11+'E Balans VL '!E11)/100/3.6*1000000</f>
        <v>0</v>
      </c>
      <c r="K11" s="33"/>
      <c r="L11" s="33"/>
      <c r="M11" s="33"/>
      <c r="N11" s="33">
        <f>$C$31*'E Balans VL '!Y11/100/3.6*1000000</f>
        <v>1.2804006668959138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8492.5279170863669</v>
      </c>
      <c r="C16" s="21">
        <f t="shared" ca="1" si="1"/>
        <v>0</v>
      </c>
      <c r="D16" s="21">
        <f t="shared" ca="1" si="1"/>
        <v>9010.3942460225044</v>
      </c>
      <c r="E16" s="21">
        <f t="shared" si="1"/>
        <v>27.014170211969265</v>
      </c>
      <c r="F16" s="21">
        <f t="shared" ca="1" si="1"/>
        <v>1200.66118633266</v>
      </c>
      <c r="G16" s="21">
        <f t="shared" si="1"/>
        <v>0</v>
      </c>
      <c r="H16" s="21">
        <f t="shared" si="1"/>
        <v>0</v>
      </c>
      <c r="I16" s="21">
        <f t="shared" si="1"/>
        <v>0</v>
      </c>
      <c r="J16" s="21">
        <f t="shared" si="1"/>
        <v>7.8843408799016343E-3</v>
      </c>
      <c r="K16" s="21">
        <f t="shared" si="1"/>
        <v>0</v>
      </c>
      <c r="L16" s="21">
        <f t="shared" ca="1" si="1"/>
        <v>0</v>
      </c>
      <c r="M16" s="21">
        <f t="shared" si="1"/>
        <v>0</v>
      </c>
      <c r="N16" s="21">
        <f t="shared" ca="1" si="1"/>
        <v>291.64205869039938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0.17812832352253141</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1512.7597603388901</v>
      </c>
      <c r="C20" s="23">
        <f t="shared" ref="C20:P20" ca="1" si="2">C16*C18</f>
        <v>0</v>
      </c>
      <c r="D20" s="23">
        <f t="shared" ca="1" si="2"/>
        <v>1820.0996376965461</v>
      </c>
      <c r="E20" s="23">
        <f t="shared" si="2"/>
        <v>6.1322166381170238</v>
      </c>
      <c r="F20" s="23">
        <f t="shared" ca="1" si="2"/>
        <v>320.57653675082025</v>
      </c>
      <c r="G20" s="23">
        <f t="shared" si="2"/>
        <v>0</v>
      </c>
      <c r="H20" s="23">
        <f t="shared" si="2"/>
        <v>0</v>
      </c>
      <c r="I20" s="23">
        <f t="shared" si="2"/>
        <v>0</v>
      </c>
      <c r="J20" s="23">
        <f t="shared" si="2"/>
        <v>2.7910566714851783E-3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1763.3810481784801</v>
      </c>
      <c r="C26" s="39">
        <f>IF(ISERROR(B26*3.6/1000000/'E Balans VL '!Z12*100),0,B26*3.6/1000000/'E Balans VL '!Z12*100)</f>
        <v>4.9732015228074911E-2</v>
      </c>
      <c r="D26" s="233" t="s">
        <v>691</v>
      </c>
      <c r="F26" s="6"/>
    </row>
    <row r="27" spans="1:18">
      <c r="A27" s="228" t="s">
        <v>52</v>
      </c>
      <c r="B27" s="33">
        <f>IF(ISERROR(TER_horeca_ele_kWh/1000),0,TER_horeca_ele_kWh/1000)</f>
        <v>793.66475969905798</v>
      </c>
      <c r="C27" s="39">
        <f>IF(ISERROR(B27*3.6/1000000/'E Balans VL '!Z9*100),0,B27*3.6/1000000/'E Balans VL '!Z9*100)</f>
        <v>5.884049201628317E-2</v>
      </c>
      <c r="D27" s="233" t="s">
        <v>691</v>
      </c>
      <c r="F27" s="6"/>
    </row>
    <row r="28" spans="1:18">
      <c r="A28" s="168" t="s">
        <v>51</v>
      </c>
      <c r="B28" s="33">
        <f>IF(ISERROR(TER_handel_ele_kWh/1000),0,TER_handel_ele_kWh/1000)</f>
        <v>4312.9326439003198</v>
      </c>
      <c r="C28" s="39">
        <f>IF(ISERROR(B28*3.6/1000000/'E Balans VL '!Z13*100),0,B28*3.6/1000000/'E Balans VL '!Z13*100)</f>
        <v>0.12920520763103724</v>
      </c>
      <c r="D28" s="233" t="s">
        <v>691</v>
      </c>
      <c r="F28" s="6"/>
    </row>
    <row r="29" spans="1:18">
      <c r="A29" s="228" t="s">
        <v>50</v>
      </c>
      <c r="B29" s="33">
        <f>IF(ISERROR(TER_gezond_ele_kWh/1000),0,TER_gezond_ele_kWh/1000)</f>
        <v>369.49522195060302</v>
      </c>
      <c r="C29" s="39">
        <f>IF(ISERROR(B29*3.6/1000000/'E Balans VL '!Z10*100),0,B29*3.6/1000000/'E Balans VL '!Z10*100)</f>
        <v>3.6535832369430227E-2</v>
      </c>
      <c r="D29" s="233" t="s">
        <v>691</v>
      </c>
      <c r="F29" s="6"/>
    </row>
    <row r="30" spans="1:18">
      <c r="A30" s="228" t="s">
        <v>49</v>
      </c>
      <c r="B30" s="33">
        <f>IF(ISERROR(TER_ander_ele_kWh/1000),0,TER_ander_ele_kWh/1000)</f>
        <v>798.34796446180098</v>
      </c>
      <c r="C30" s="39">
        <f>IF(ISERROR(B30*3.6/1000000/'E Balans VL '!Z14*100),0,B30*3.6/1000000/'E Balans VL '!Z14*100)</f>
        <v>3.2290815890382116E-2</v>
      </c>
      <c r="D30" s="233" t="s">
        <v>691</v>
      </c>
      <c r="F30" s="6"/>
    </row>
    <row r="31" spans="1:18">
      <c r="A31" s="228" t="s">
        <v>54</v>
      </c>
      <c r="B31" s="33">
        <f>IF(ISERROR(TER_onderwijs_ele_kWh/1000),0,TER_onderwijs_ele_kWh/1000)</f>
        <v>454.70627889610404</v>
      </c>
      <c r="C31" s="39">
        <f>IF(ISERROR(B31*3.6/1000000/'E Balans VL '!Z11*100),0,B31*3.6/1000000/'E Balans VL '!Z11*100)</f>
        <v>0.1249277012263717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6973.2754954276998</v>
      </c>
      <c r="C5" s="17">
        <f>IF(ISERROR('Eigen informatie GS &amp; warmtenet'!B61),0,'Eigen informatie GS &amp; warmtenet'!B61)</f>
        <v>0</v>
      </c>
      <c r="D5" s="30">
        <f>SUM(D6:D15)</f>
        <v>8438.721572467668</v>
      </c>
      <c r="E5" s="17">
        <f>SUM(E6:E15)</f>
        <v>16.098912926787495</v>
      </c>
      <c r="F5" s="17">
        <f>SUM(F6:F15)</f>
        <v>1317.2555752058522</v>
      </c>
      <c r="G5" s="18"/>
      <c r="H5" s="17"/>
      <c r="I5" s="17"/>
      <c r="J5" s="17">
        <f>SUM(J6:J15)</f>
        <v>0.24825835117042616</v>
      </c>
      <c r="K5" s="17"/>
      <c r="L5" s="17"/>
      <c r="M5" s="17"/>
      <c r="N5" s="17">
        <f>SUM(N6:N15)</f>
        <v>331.55687545877697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256.85323782648697</v>
      </c>
      <c r="C8" s="33"/>
      <c r="D8" s="37">
        <f>IF( ISERROR(IND_metaal_Gas_kWH/1000),0,IND_metaal_Gas_kWH/1000)*0.903</f>
        <v>208.44805225290978</v>
      </c>
      <c r="E8" s="33">
        <f>C30*'E Balans VL '!I18/100/3.6*1000000</f>
        <v>1.295098840700915</v>
      </c>
      <c r="F8" s="33">
        <f>C30*'E Balans VL '!L18/100/3.6*1000000+C30*'E Balans VL '!N18/100/3.6*1000000</f>
        <v>17.548738075318276</v>
      </c>
      <c r="G8" s="34"/>
      <c r="H8" s="33"/>
      <c r="I8" s="33"/>
      <c r="J8" s="40">
        <f>C30*'E Balans VL '!D18/100/3.6*1000000+C30*'E Balans VL '!E18/100/3.6*1000000</f>
        <v>0.22772230519662062</v>
      </c>
      <c r="K8" s="33"/>
      <c r="L8" s="33"/>
      <c r="M8" s="33"/>
      <c r="N8" s="33">
        <f>C30*'E Balans VL '!Y18/100/3.6*1000000</f>
        <v>3.4135810550165613</v>
      </c>
      <c r="O8" s="33"/>
      <c r="P8" s="33"/>
      <c r="R8" s="32"/>
    </row>
    <row r="9" spans="1:18">
      <c r="A9" s="6" t="s">
        <v>32</v>
      </c>
      <c r="B9" s="37">
        <f t="shared" si="0"/>
        <v>1969.0982208949599</v>
      </c>
      <c r="C9" s="33"/>
      <c r="D9" s="37">
        <f>IF( ISERROR(IND_andere_gas_kWh/1000),0,IND_andere_gas_kWh/1000)*0.903</f>
        <v>3620.1861154469134</v>
      </c>
      <c r="E9" s="33">
        <f>C31*'E Balans VL '!I19/100/3.6*1000000</f>
        <v>6.2070629754433364</v>
      </c>
      <c r="F9" s="33">
        <f>C31*'E Balans VL '!L19/100/3.6*1000000+C31*'E Balans VL '!N19/100/3.6*1000000</f>
        <v>1205.3991130980928</v>
      </c>
      <c r="G9" s="34"/>
      <c r="H9" s="33"/>
      <c r="I9" s="33"/>
      <c r="J9" s="40">
        <f>C31*'E Balans VL '!D19/100/3.6*1000000+C31*'E Balans VL '!E19/100/3.6*1000000</f>
        <v>0</v>
      </c>
      <c r="K9" s="33"/>
      <c r="L9" s="33"/>
      <c r="M9" s="33"/>
      <c r="N9" s="33">
        <f>C31*'E Balans VL '!Y19/100/3.6*1000000</f>
        <v>82.566962084772328</v>
      </c>
      <c r="O9" s="33"/>
      <c r="P9" s="33"/>
      <c r="R9" s="32"/>
    </row>
    <row r="10" spans="1:18">
      <c r="A10" s="6" t="s">
        <v>40</v>
      </c>
      <c r="B10" s="37">
        <f t="shared" si="0"/>
        <v>2055.96558942613</v>
      </c>
      <c r="C10" s="33"/>
      <c r="D10" s="37">
        <f>IF( ISERROR(IND_voed_gas_kWh/1000),0,IND_voed_gas_kWh/1000)*0.903</f>
        <v>4346.7151990878847</v>
      </c>
      <c r="E10" s="33">
        <f>C32*'E Balans VL '!I20/100/3.6*1000000</f>
        <v>3.276631745578261</v>
      </c>
      <c r="F10" s="33">
        <f>C32*'E Balans VL '!L20/100/3.6*1000000+C32*'E Balans VL '!N20/100/3.6*1000000</f>
        <v>33.40444632161001</v>
      </c>
      <c r="G10" s="34"/>
      <c r="H10" s="33"/>
      <c r="I10" s="33"/>
      <c r="J10" s="40">
        <f>C32*'E Balans VL '!D20/100/3.6*1000000+C32*'E Balans VL '!E20/100/3.6*1000000</f>
        <v>0</v>
      </c>
      <c r="K10" s="33"/>
      <c r="L10" s="33"/>
      <c r="M10" s="33"/>
      <c r="N10" s="33">
        <f>C32*'E Balans VL '!Y20/100/3.6*1000000</f>
        <v>64.937661570888324</v>
      </c>
      <c r="O10" s="33"/>
      <c r="P10" s="33"/>
      <c r="R10" s="32"/>
    </row>
    <row r="11" spans="1:18">
      <c r="A11" s="6" t="s">
        <v>39</v>
      </c>
      <c r="B11" s="37">
        <f t="shared" si="0"/>
        <v>2272.2892507740103</v>
      </c>
      <c r="C11" s="33"/>
      <c r="D11" s="37">
        <f>IF( ISERROR(IND_textiel_gas_kWh/1000),0,IND_textiel_gas_kWh/1000)*0.903</f>
        <v>239.16403906842166</v>
      </c>
      <c r="E11" s="33">
        <f>C33*'E Balans VL '!I21/100/3.6*1000000</f>
        <v>3.2966764905412327</v>
      </c>
      <c r="F11" s="33">
        <f>C33*'E Balans VL '!L21/100/3.6*1000000+C33*'E Balans VL '!N21/100/3.6*1000000</f>
        <v>44.470160622487306</v>
      </c>
      <c r="G11" s="34"/>
      <c r="H11" s="33"/>
      <c r="I11" s="33"/>
      <c r="J11" s="40">
        <f>C33*'E Balans VL '!D21/100/3.6*1000000+C33*'E Balans VL '!E21/100/3.6*1000000</f>
        <v>0</v>
      </c>
      <c r="K11" s="33"/>
      <c r="L11" s="33"/>
      <c r="M11" s="33"/>
      <c r="N11" s="33">
        <f>C33*'E Balans VL '!Y21/100/3.6*1000000</f>
        <v>110.70077523942835</v>
      </c>
      <c r="O11" s="33"/>
      <c r="P11" s="33"/>
      <c r="R11" s="32"/>
    </row>
    <row r="12" spans="1:18">
      <c r="A12" s="6" t="s">
        <v>36</v>
      </c>
      <c r="B12" s="37">
        <f t="shared" si="0"/>
        <v>409.01019650611101</v>
      </c>
      <c r="C12" s="33"/>
      <c r="D12" s="37">
        <f>IF( ISERROR(IND_min_gas_kWh/1000),0,IND_min_gas_kWh/1000)*0.903</f>
        <v>0</v>
      </c>
      <c r="E12" s="33">
        <f>C34*'E Balans VL '!I22/100/3.6*1000000</f>
        <v>1.7698978738000837</v>
      </c>
      <c r="F12" s="33">
        <f>C34*'E Balans VL '!L22/100/3.6*1000000+C34*'E Balans VL '!N22/100/3.6*1000000</f>
        <v>15.616514196793123</v>
      </c>
      <c r="G12" s="34"/>
      <c r="H12" s="33"/>
      <c r="I12" s="33"/>
      <c r="J12" s="40">
        <f>C34*'E Balans VL '!D22/100/3.6*1000000+C34*'E Balans VL '!E22/100/3.6*1000000</f>
        <v>0</v>
      </c>
      <c r="K12" s="33"/>
      <c r="L12" s="33"/>
      <c r="M12" s="33"/>
      <c r="N12" s="33">
        <f>C34*'E Balans VL '!Y22/100/3.6*1000000</f>
        <v>69.76792598601368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10.058999999999999</v>
      </c>
      <c r="C15" s="33"/>
      <c r="D15" s="37">
        <f>IF( ISERROR(IND_rest_gas_kWh/1000),0,IND_rest_gas_kWh/1000)*0.903</f>
        <v>24.208166611537298</v>
      </c>
      <c r="E15" s="33">
        <f>C37*'E Balans VL '!I15/100/3.6*1000000</f>
        <v>0.25354500072366898</v>
      </c>
      <c r="F15" s="33">
        <f>C37*'E Balans VL '!L15/100/3.6*1000000+C37*'E Balans VL '!N15/100/3.6*1000000</f>
        <v>0.81660289155066446</v>
      </c>
      <c r="G15" s="34"/>
      <c r="H15" s="33"/>
      <c r="I15" s="33"/>
      <c r="J15" s="40">
        <f>C37*'E Balans VL '!D15/100/3.6*1000000+C37*'E Balans VL '!E15/100/3.6*1000000</f>
        <v>2.0536045973805546E-2</v>
      </c>
      <c r="K15" s="33"/>
      <c r="L15" s="33"/>
      <c r="M15" s="33"/>
      <c r="N15" s="33">
        <f>C37*'E Balans VL '!Y15/100/3.6*1000000</f>
        <v>0.16996952265772033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6973.2754954276998</v>
      </c>
      <c r="C18" s="21">
        <f>C5+C16</f>
        <v>0</v>
      </c>
      <c r="D18" s="21">
        <f>MAX((D5+D16),0)</f>
        <v>8438.721572467668</v>
      </c>
      <c r="E18" s="21">
        <f>MAX((E5+E16),0)</f>
        <v>16.098912926787495</v>
      </c>
      <c r="F18" s="21">
        <f>MAX((F5+F16),0)</f>
        <v>1317.2555752058522</v>
      </c>
      <c r="G18" s="21"/>
      <c r="H18" s="21"/>
      <c r="I18" s="21"/>
      <c r="J18" s="21">
        <f>MAX((J5+J16),0)</f>
        <v>0.24825835117042616</v>
      </c>
      <c r="K18" s="21"/>
      <c r="L18" s="21">
        <f>MAX((L5+L16),0)</f>
        <v>0</v>
      </c>
      <c r="M18" s="21"/>
      <c r="N18" s="21">
        <f>MAX((N5+N16),0)</f>
        <v>331.55687545877697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0.17812832352253141</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1242.1378734612858</v>
      </c>
      <c r="C22" s="23">
        <f ca="1">C18*C20</f>
        <v>0</v>
      </c>
      <c r="D22" s="23">
        <f>D18*D20</f>
        <v>1704.621757638469</v>
      </c>
      <c r="E22" s="23">
        <f>E18*E20</f>
        <v>3.6544532343807616</v>
      </c>
      <c r="F22" s="23">
        <f>F18*F20</f>
        <v>351.70723857996256</v>
      </c>
      <c r="G22" s="23"/>
      <c r="H22" s="23"/>
      <c r="I22" s="23"/>
      <c r="J22" s="23">
        <f>J18*J20</f>
        <v>8.7883456314330852E-2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256.85323782648697</v>
      </c>
      <c r="C30" s="39">
        <f>IF(ISERROR(B30*3.6/1000000/'E Balans VL '!Z18*100),0,B30*3.6/1000000/'E Balans VL '!Z18*100)</f>
        <v>1.2749615843045597E-2</v>
      </c>
      <c r="D30" s="233" t="s">
        <v>691</v>
      </c>
    </row>
    <row r="31" spans="1:18">
      <c r="A31" s="6" t="s">
        <v>32</v>
      </c>
      <c r="B31" s="37">
        <f>IF( ISERROR(IND_ander_ele_kWh/1000),0,IND_ander_ele_kWh/1000)</f>
        <v>1969.0982208949599</v>
      </c>
      <c r="C31" s="39">
        <f>IF(ISERROR(B31*3.6/1000000/'E Balans VL '!Z19*100),0,B31*3.6/1000000/'E Balans VL '!Z19*100)</f>
        <v>6.644697467158453E-2</v>
      </c>
      <c r="D31" s="233" t="s">
        <v>691</v>
      </c>
    </row>
    <row r="32" spans="1:18">
      <c r="A32" s="168" t="s">
        <v>40</v>
      </c>
      <c r="B32" s="37">
        <f>IF( ISERROR(IND_voed_ele_kWh/1000),0,IND_voed_ele_kWh/1000)</f>
        <v>2055.96558942613</v>
      </c>
      <c r="C32" s="39">
        <f>IF(ISERROR(B32*3.6/1000000/'E Balans VL '!Z20*100),0,B32*3.6/1000000/'E Balans VL '!Z20*100)</f>
        <v>4.8282939584378355E-2</v>
      </c>
      <c r="D32" s="233" t="s">
        <v>691</v>
      </c>
    </row>
    <row r="33" spans="1:5">
      <c r="A33" s="168" t="s">
        <v>39</v>
      </c>
      <c r="B33" s="37">
        <f>IF( ISERROR(IND_textiel_ele_kWh/1000),0,IND_textiel_ele_kWh/1000)</f>
        <v>2272.2892507740103</v>
      </c>
      <c r="C33" s="39">
        <f>IF(ISERROR(B33*3.6/1000000/'E Balans VL '!Z21*100),0,B33*3.6/1000000/'E Balans VL '!Z21*100)</f>
        <v>0.24938086501257484</v>
      </c>
      <c r="D33" s="233" t="s">
        <v>691</v>
      </c>
    </row>
    <row r="34" spans="1:5">
      <c r="A34" s="168" t="s">
        <v>36</v>
      </c>
      <c r="B34" s="37">
        <f>IF( ISERROR(IND_min_ele_kWh/1000),0,IND_min_ele_kWh/1000)</f>
        <v>409.01019650611101</v>
      </c>
      <c r="C34" s="39">
        <f>IF(ISERROR(B34*3.6/1000000/'E Balans VL '!Z22*100),0,B34*3.6/1000000/'E Balans VL '!Z22*100)</f>
        <v>5.802658683258427E-2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10.058999999999999</v>
      </c>
      <c r="C37" s="39">
        <f>IF(ISERROR(B37*3.6/1000000/'E Balans VL '!Z15*100),0,B37*3.6/1000000/'E Balans VL '!Z15*100)</f>
        <v>3.7696396249851283E-5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1040.9294310717301</v>
      </c>
      <c r="C5" s="17">
        <f>'Eigen informatie GS &amp; warmtenet'!B62</f>
        <v>0</v>
      </c>
      <c r="D5" s="30">
        <f>IF(ISERROR(SUM(LB_lb_gas_kWh,LB_rest_gas_kWh)/1000),0,SUM(LB_lb_gas_kWh,LB_rest_gas_kWh)/1000)*0.903</f>
        <v>163.65017172755935</v>
      </c>
      <c r="E5" s="17">
        <f>B17*'E Balans VL '!I25/3.6*1000000/100</f>
        <v>38.819442460663048</v>
      </c>
      <c r="F5" s="17">
        <f>B17*('E Balans VL '!L25/3.6*1000000+'E Balans VL '!N25/3.6*1000000)/100</f>
        <v>3377.1773053619008</v>
      </c>
      <c r="G5" s="18"/>
      <c r="H5" s="17"/>
      <c r="I5" s="17"/>
      <c r="J5" s="17">
        <f>('E Balans VL '!D25+'E Balans VL '!E25)/3.6*1000000*landbouw!B17/100</f>
        <v>273.24911462826293</v>
      </c>
      <c r="K5" s="17"/>
      <c r="L5" s="17">
        <f>L6*(-1)</f>
        <v>9779.0625</v>
      </c>
      <c r="M5" s="17"/>
      <c r="N5" s="17">
        <f>N6*(-1)</f>
        <v>0</v>
      </c>
      <c r="O5" s="17"/>
      <c r="P5" s="17"/>
      <c r="R5" s="32"/>
    </row>
    <row r="6" spans="1:18">
      <c r="A6" s="16" t="s">
        <v>473</v>
      </c>
      <c r="B6" s="17" t="s">
        <v>210</v>
      </c>
      <c r="C6" s="17">
        <f>'lokale energieproductie'!O40+'lokale energieproductie'!O33</f>
        <v>5867.4375</v>
      </c>
      <c r="D6" s="304">
        <f>('lokale energieproductie'!P33+'lokale energieproductie'!P40)*(-1)</f>
        <v>0</v>
      </c>
      <c r="E6" s="244"/>
      <c r="F6" s="304">
        <f>('lokale energieproductie'!S33+'lokale energieproductie'!S40)*(-1)</f>
        <v>-3259.6875</v>
      </c>
      <c r="G6" s="245"/>
      <c r="H6" s="244"/>
      <c r="I6" s="244"/>
      <c r="J6" s="244"/>
      <c r="K6" s="244"/>
      <c r="L6" s="304">
        <f>('lokale energieproductie'!T33+'lokale energieproductie'!U33+'lokale energieproductie'!T40+'lokale energieproductie'!U40)*(-1)</f>
        <v>-9779.0625</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1040.9294310717301</v>
      </c>
      <c r="C8" s="21">
        <f>C5+C6</f>
        <v>5867.4375</v>
      </c>
      <c r="D8" s="21">
        <f>MAX((D5+D6),0)</f>
        <v>163.65017172755935</v>
      </c>
      <c r="E8" s="21">
        <f>MAX((E5+E6),0)</f>
        <v>38.819442460663048</v>
      </c>
      <c r="F8" s="21">
        <f>MAX((F5+F6),0)</f>
        <v>117.48980536190084</v>
      </c>
      <c r="G8" s="21"/>
      <c r="H8" s="21"/>
      <c r="I8" s="21"/>
      <c r="J8" s="21">
        <f>MAX((J5+J6),0)</f>
        <v>273.24911462826293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0.17812832352253141</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185.4190144620697</v>
      </c>
      <c r="C12" s="23">
        <f ca="1">C8*C10</f>
        <v>460.76641544117649</v>
      </c>
      <c r="D12" s="23">
        <f>D8*D10</f>
        <v>33.057334688966989</v>
      </c>
      <c r="E12" s="23">
        <f>E8*E10</f>
        <v>8.8120134385705118</v>
      </c>
      <c r="F12" s="23">
        <f>F8*F10</f>
        <v>31.369778031627526</v>
      </c>
      <c r="G12" s="23"/>
      <c r="H12" s="23"/>
      <c r="I12" s="23"/>
      <c r="J12" s="23">
        <f>J8*J10</f>
        <v>96.730186578405068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0.14296894103324642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89.57462870527354</v>
      </c>
      <c r="C26" s="243">
        <f>B26*'GWP N2O_CH4'!B5</f>
        <v>1881.0672028107442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12.127145755243301</v>
      </c>
      <c r="C27" s="243">
        <f>B27*'GWP N2O_CH4'!B5</f>
        <v>254.67006086010932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1.2394830670063677</v>
      </c>
      <c r="C28" s="243">
        <f>B28*'GWP N2O_CH4'!B4</f>
        <v>384.239750771974</v>
      </c>
      <c r="D28" s="50"/>
    </row>
    <row r="29" spans="1:4">
      <c r="A29" s="41" t="s">
        <v>272</v>
      </c>
      <c r="B29" s="243">
        <f>B34*'ha_N2O bodem landbouw'!B4</f>
        <v>6.2315678395775693</v>
      </c>
      <c r="C29" s="243">
        <f>B29*'GWP N2O_CH4'!B4</f>
        <v>1931.7860302690465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1.4201921068251716E-3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3.5396228301866366E-4</v>
      </c>
      <c r="C5" s="434" t="s">
        <v>210</v>
      </c>
      <c r="D5" s="419">
        <f>SUM(D6:D11)</f>
        <v>6.8252717274570104E-4</v>
      </c>
      <c r="E5" s="419">
        <f>SUM(E6:E11)</f>
        <v>3.7213479257344555E-4</v>
      </c>
      <c r="F5" s="432" t="s">
        <v>210</v>
      </c>
      <c r="G5" s="419">
        <f>SUM(G6:G11)</f>
        <v>0.16529589587511262</v>
      </c>
      <c r="H5" s="419">
        <f>SUM(H6:H11)</f>
        <v>4.134933327623698E-2</v>
      </c>
      <c r="I5" s="434" t="s">
        <v>210</v>
      </c>
      <c r="J5" s="434" t="s">
        <v>210</v>
      </c>
      <c r="K5" s="434" t="s">
        <v>210</v>
      </c>
      <c r="L5" s="434" t="s">
        <v>210</v>
      </c>
      <c r="M5" s="419">
        <f>SUM(M6:M11)</f>
        <v>1.2180849454202078E-2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2.114391566709972E-4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3.6741477390333117E-4</v>
      </c>
      <c r="E6" s="885">
        <f>vkm_GW_PW*SUMIFS(TableVerdeelsleutelVkm[LPG],TableVerdeelsleutelVkm[Voertuigtype],"Lichte voertuigen")*SUMIFS(TableECFTransport[EnergieConsumptieFactor (PJ per km)],TableECFTransport[Index],CONCATENATE($A6,"_LPG_LPG"))</f>
        <v>2.0430658188838518E-4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6.1396070392803634E-2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2.2385212514120498E-2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5.0128412410610996E-3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9.4368067369021681E-7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3.9056581809647023E-2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3.9732911818433671E-7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2.1989457695384489E-3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1.4123367209622622E-4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3.1511239884236993E-4</v>
      </c>
      <c r="E8" s="422">
        <f>vkm_NGW_PW*SUMIFS(TableVerdeelsleutelVkm[LPG],TableVerdeelsleutelVkm[Voertuigtype],"Lichte voertuigen")*SUMIFS(TableECFTransport[EnergieConsumptieFactor (PJ per km)],TableECFTransport[Index],CONCATENATE($A8,"_LPG_LPG"))</f>
        <v>1.678282106850604E-4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4.6414391826700804E-2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1.8963547707986004E-2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3.931490490032441E-3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3.4577357775004043E-7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1.8428851845961144E-2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1.7572501229223265E-7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1.0375719535700885E-3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98.322856394073227</v>
      </c>
      <c r="C14" s="21"/>
      <c r="D14" s="21">
        <f t="shared" ref="D14:M14" si="0">((D5)*10^9/3600)+D12</f>
        <v>189.5908813182503</v>
      </c>
      <c r="E14" s="21">
        <f t="shared" si="0"/>
        <v>103.37077571484598</v>
      </c>
      <c r="F14" s="21"/>
      <c r="G14" s="21">
        <f t="shared" si="0"/>
        <v>45915.526631975728</v>
      </c>
      <c r="H14" s="21">
        <f t="shared" si="0"/>
        <v>11485.925910065827</v>
      </c>
      <c r="I14" s="21"/>
      <c r="J14" s="21"/>
      <c r="K14" s="21"/>
      <c r="L14" s="21"/>
      <c r="M14" s="21">
        <f t="shared" si="0"/>
        <v>3383.5692928339108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0.17812832352253141</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17.514085573422872</v>
      </c>
      <c r="C18" s="23"/>
      <c r="D18" s="23">
        <f t="shared" ref="D18:M18" si="1">D14*D16</f>
        <v>38.29735802628656</v>
      </c>
      <c r="E18" s="23">
        <f t="shared" si="1"/>
        <v>23.465166087270038</v>
      </c>
      <c r="F18" s="23"/>
      <c r="G18" s="23">
        <f t="shared" si="1"/>
        <v>12259.445610737521</v>
      </c>
      <c r="H18" s="23">
        <f t="shared" si="1"/>
        <v>2859.995551606391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2.8300528094969935E-5</v>
      </c>
      <c r="C50" s="315">
        <f t="shared" ref="C50:P50" si="2">SUM(C51:C52)</f>
        <v>0</v>
      </c>
      <c r="D50" s="315">
        <f t="shared" si="2"/>
        <v>0</v>
      </c>
      <c r="E50" s="315">
        <f t="shared" si="2"/>
        <v>0</v>
      </c>
      <c r="F50" s="315">
        <f t="shared" si="2"/>
        <v>0</v>
      </c>
      <c r="G50" s="315">
        <f t="shared" si="2"/>
        <v>2.0200406763069383E-3</v>
      </c>
      <c r="H50" s="315">
        <f t="shared" si="2"/>
        <v>0</v>
      </c>
      <c r="I50" s="315">
        <f t="shared" si="2"/>
        <v>0</v>
      </c>
      <c r="J50" s="315">
        <f t="shared" si="2"/>
        <v>0</v>
      </c>
      <c r="K50" s="315">
        <f t="shared" si="2"/>
        <v>0</v>
      </c>
      <c r="L50" s="315">
        <f t="shared" si="2"/>
        <v>0</v>
      </c>
      <c r="M50" s="315">
        <f t="shared" si="2"/>
        <v>1.1154380566047666E-4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2.8300528094969935E-5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2.0200406763069383E-3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1.1154380566047666E-4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7.8612578041583152</v>
      </c>
      <c r="C54" s="21">
        <f t="shared" ref="C54:P54" si="3">(C50)*10^9/3600</f>
        <v>0</v>
      </c>
      <c r="D54" s="21">
        <f t="shared" si="3"/>
        <v>0</v>
      </c>
      <c r="E54" s="21">
        <f t="shared" si="3"/>
        <v>0</v>
      </c>
      <c r="F54" s="21">
        <f t="shared" si="3"/>
        <v>0</v>
      </c>
      <c r="G54" s="21">
        <f t="shared" si="3"/>
        <v>561.12241008526064</v>
      </c>
      <c r="H54" s="21">
        <f t="shared" si="3"/>
        <v>0</v>
      </c>
      <c r="I54" s="21">
        <f t="shared" si="3"/>
        <v>0</v>
      </c>
      <c r="J54" s="21">
        <f t="shared" si="3"/>
        <v>0</v>
      </c>
      <c r="K54" s="21">
        <f t="shared" si="3"/>
        <v>0</v>
      </c>
      <c r="L54" s="21">
        <f t="shared" si="3"/>
        <v>0</v>
      </c>
      <c r="M54" s="21">
        <f t="shared" si="3"/>
        <v>30.984390461243517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0.17812832352253141</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1.4003126734331373</v>
      </c>
      <c r="C58" s="23">
        <f t="shared" ref="C58:P58" ca="1" si="4">C54*C56</f>
        <v>0</v>
      </c>
      <c r="D58" s="23">
        <f t="shared" si="4"/>
        <v>0</v>
      </c>
      <c r="E58" s="23">
        <f t="shared" si="4"/>
        <v>0</v>
      </c>
      <c r="F58" s="23">
        <f t="shared" si="4"/>
        <v>0</v>
      </c>
      <c r="G58" s="23">
        <f t="shared" si="4"/>
        <v>149.8196834927646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5390.658600469591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5215.5</v>
      </c>
      <c r="C8" s="544">
        <f>B49</f>
        <v>0</v>
      </c>
      <c r="D8" s="545"/>
      <c r="E8" s="545">
        <f>E49</f>
        <v>1533.9705882352941</v>
      </c>
      <c r="F8" s="546"/>
      <c r="G8" s="547"/>
      <c r="H8" s="545">
        <f>I49</f>
        <v>0</v>
      </c>
      <c r="I8" s="545">
        <f>G49+F49</f>
        <v>4601.911764705882</v>
      </c>
      <c r="J8" s="545">
        <f>H49+D49+C49</f>
        <v>0</v>
      </c>
      <c r="K8" s="545"/>
      <c r="L8" s="545"/>
      <c r="M8" s="545"/>
      <c r="N8" s="548"/>
      <c r="O8" s="549">
        <f>C8*$C$12+D8*$D$12+E8*$E$12+F8*$F$12+G8*$G$12+H8*$H$12+I8*$I$12+J8*$J$12</f>
        <v>409.57014705882358</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10606.158600469591</v>
      </c>
      <c r="C10" s="559">
        <f t="shared" ref="C10:L10" si="0">SUM(C8:C9)</f>
        <v>0</v>
      </c>
      <c r="D10" s="559">
        <f t="shared" si="0"/>
        <v>0</v>
      </c>
      <c r="E10" s="559">
        <f t="shared" si="0"/>
        <v>1533.9705882352941</v>
      </c>
      <c r="F10" s="559">
        <f t="shared" si="0"/>
        <v>0</v>
      </c>
      <c r="G10" s="559">
        <f t="shared" si="0"/>
        <v>0</v>
      </c>
      <c r="H10" s="559">
        <f t="shared" si="0"/>
        <v>0</v>
      </c>
      <c r="I10" s="559">
        <f t="shared" si="0"/>
        <v>4601.911764705882</v>
      </c>
      <c r="J10" s="559">
        <f t="shared" si="0"/>
        <v>0</v>
      </c>
      <c r="K10" s="559">
        <f t="shared" si="0"/>
        <v>0</v>
      </c>
      <c r="L10" s="559">
        <f t="shared" si="0"/>
        <v>0</v>
      </c>
      <c r="M10" s="960"/>
      <c r="N10" s="960"/>
      <c r="O10" s="560">
        <f>SUM(O4:O9)</f>
        <v>409.57014705882358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5867.4375</v>
      </c>
      <c r="C17" s="575">
        <f>B50</f>
        <v>0</v>
      </c>
      <c r="D17" s="576"/>
      <c r="E17" s="576">
        <f>E50</f>
        <v>1725.7169117647059</v>
      </c>
      <c r="F17" s="577"/>
      <c r="G17" s="578"/>
      <c r="H17" s="575">
        <f>I50</f>
        <v>0</v>
      </c>
      <c r="I17" s="576">
        <f>G50+F50</f>
        <v>5177.150735294118</v>
      </c>
      <c r="J17" s="576">
        <f>H50+D50+C50</f>
        <v>0</v>
      </c>
      <c r="K17" s="576"/>
      <c r="L17" s="576"/>
      <c r="M17" s="576"/>
      <c r="N17" s="961"/>
      <c r="O17" s="579">
        <f>C17*$C$22+E17*$E$22+H17*$H$22+I17*$I$22+J17*$J$22+D17*$D$22+F17*$F$22+G17*$G$22+K17*$K$22+L17*$L$22</f>
        <v>460.76641544117649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5867.4375</v>
      </c>
      <c r="C20" s="558">
        <f>SUM(C17:C19)</f>
        <v>0</v>
      </c>
      <c r="D20" s="558">
        <f t="shared" ref="D20:L20" si="1">SUM(D17:D19)</f>
        <v>0</v>
      </c>
      <c r="E20" s="558">
        <f t="shared" si="1"/>
        <v>1725.7169117647059</v>
      </c>
      <c r="F20" s="558">
        <f t="shared" si="1"/>
        <v>0</v>
      </c>
      <c r="G20" s="558">
        <f t="shared" si="1"/>
        <v>0</v>
      </c>
      <c r="H20" s="558">
        <f t="shared" si="1"/>
        <v>0</v>
      </c>
      <c r="I20" s="558">
        <f t="shared" si="1"/>
        <v>5177.150735294118</v>
      </c>
      <c r="J20" s="558">
        <f t="shared" si="1"/>
        <v>0</v>
      </c>
      <c r="K20" s="558">
        <f t="shared" si="1"/>
        <v>0</v>
      </c>
      <c r="L20" s="558">
        <f t="shared" si="1"/>
        <v>0</v>
      </c>
      <c r="M20" s="558"/>
      <c r="N20" s="558"/>
      <c r="O20" s="584">
        <f>SUM(O17:O19)</f>
        <v>460.76641544117649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23060</v>
      </c>
      <c r="C28" s="786">
        <v>1745</v>
      </c>
      <c r="D28" s="636" t="s">
        <v>883</v>
      </c>
      <c r="E28" s="635" t="s">
        <v>884</v>
      </c>
      <c r="F28" s="635" t="s">
        <v>885</v>
      </c>
      <c r="G28" s="635" t="s">
        <v>886</v>
      </c>
      <c r="H28" s="635" t="s">
        <v>887</v>
      </c>
      <c r="I28" s="635" t="s">
        <v>884</v>
      </c>
      <c r="J28" s="785">
        <v>39066</v>
      </c>
      <c r="K28" s="785">
        <v>39063</v>
      </c>
      <c r="L28" s="635" t="s">
        <v>888</v>
      </c>
      <c r="M28" s="635">
        <v>720</v>
      </c>
      <c r="N28" s="635">
        <v>3240</v>
      </c>
      <c r="O28" s="635">
        <v>3645</v>
      </c>
      <c r="P28" s="635">
        <v>0</v>
      </c>
      <c r="Q28" s="635">
        <v>0</v>
      </c>
      <c r="R28" s="635">
        <v>0</v>
      </c>
      <c r="S28" s="635">
        <v>2025</v>
      </c>
      <c r="T28" s="635">
        <v>6075</v>
      </c>
      <c r="U28" s="635">
        <v>0</v>
      </c>
      <c r="V28" s="635">
        <v>0</v>
      </c>
      <c r="W28" s="635">
        <v>0</v>
      </c>
      <c r="X28" s="635">
        <v>10</v>
      </c>
      <c r="Y28" s="635" t="s">
        <v>111</v>
      </c>
      <c r="Z28" s="637" t="s">
        <v>111</v>
      </c>
    </row>
    <row r="29" spans="1:26" s="589" customFormat="1" ht="38.25">
      <c r="A29" s="588"/>
      <c r="B29" s="786">
        <v>23060</v>
      </c>
      <c r="C29" s="786">
        <v>1745</v>
      </c>
      <c r="D29" s="636" t="s">
        <v>889</v>
      </c>
      <c r="E29" s="635" t="s">
        <v>890</v>
      </c>
      <c r="F29" s="635" t="s">
        <v>891</v>
      </c>
      <c r="G29" s="635" t="s">
        <v>886</v>
      </c>
      <c r="H29" s="635" t="s">
        <v>887</v>
      </c>
      <c r="I29" s="635" t="s">
        <v>892</v>
      </c>
      <c r="J29" s="785">
        <v>40444</v>
      </c>
      <c r="K29" s="785">
        <v>40444</v>
      </c>
      <c r="L29" s="635" t="s">
        <v>888</v>
      </c>
      <c r="M29" s="635">
        <v>439</v>
      </c>
      <c r="N29" s="635">
        <v>1975.5</v>
      </c>
      <c r="O29" s="635">
        <v>2222.4375</v>
      </c>
      <c r="P29" s="635">
        <v>0</v>
      </c>
      <c r="Q29" s="635">
        <v>0</v>
      </c>
      <c r="R29" s="635">
        <v>0</v>
      </c>
      <c r="S29" s="635">
        <v>1234.6875</v>
      </c>
      <c r="T29" s="635">
        <v>3704.0625</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1159</v>
      </c>
      <c r="N30" s="593">
        <f>SUM(N28:N29)</f>
        <v>5215.5</v>
      </c>
      <c r="O30" s="593">
        <f>SUM(O28:O29)</f>
        <v>5867.4375</v>
      </c>
      <c r="P30" s="593">
        <f>SUM(P28:P29)</f>
        <v>0</v>
      </c>
      <c r="Q30" s="593">
        <f>SUM(Q28:Q29)</f>
        <v>0</v>
      </c>
      <c r="R30" s="593">
        <f>SUM(R28:R29)</f>
        <v>0</v>
      </c>
      <c r="S30" s="593">
        <f>SUM(S28:S29)</f>
        <v>3259.6875</v>
      </c>
      <c r="T30" s="593">
        <f>SUM(T28:T29)</f>
        <v>9779.0625</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1159</v>
      </c>
      <c r="N33" s="598">
        <f>SUMIF($Z$28:$Z$29,"landbouw",N28:N29)</f>
        <v>5215.5</v>
      </c>
      <c r="O33" s="598">
        <f>SUMIF($Z$28:$Z$29,"landbouw",O28:O29)</f>
        <v>5867.4375</v>
      </c>
      <c r="P33" s="598">
        <f>SUMIF($Z$28:$Z$29,"landbouw",P28:P29)</f>
        <v>0</v>
      </c>
      <c r="Q33" s="598">
        <f>SUMIF($Z$28:$Z$29,"landbouw",Q28:Q29)</f>
        <v>0</v>
      </c>
      <c r="R33" s="598">
        <f>SUMIF($Z$28:$Z$29,"landbouw",R28:R29)</f>
        <v>0</v>
      </c>
      <c r="S33" s="598">
        <f>SUMIF($Z$28:$Z$29,"landbouw",S28:S29)</f>
        <v>3259.6875</v>
      </c>
      <c r="T33" s="598">
        <f>SUMIF($Z$28:$Z$29,"landbouw",T28:T29)</f>
        <v>9779.0625</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0.52941176470588236</v>
      </c>
      <c r="C46" s="618">
        <f>IF(ISERROR(N30/(O30+N30)),0,N30/(N30+O30))</f>
        <v>0.47058823529411764</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0</v>
      </c>
      <c r="D49" s="627">
        <f t="shared" si="2"/>
        <v>0</v>
      </c>
      <c r="E49" s="627">
        <f t="shared" si="2"/>
        <v>1533.9705882352941</v>
      </c>
      <c r="F49" s="627">
        <f t="shared" si="2"/>
        <v>4601.911764705882</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0</v>
      </c>
      <c r="D50" s="630">
        <f t="shared" si="3"/>
        <v>0</v>
      </c>
      <c r="E50" s="630">
        <f t="shared" si="3"/>
        <v>1725.7169117647059</v>
      </c>
      <c r="F50" s="630">
        <f t="shared" si="3"/>
        <v>5177.150735294118</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2021-06-29T14:27:37Z</dcterms:modified>
</cp:coreProperties>
</file>