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16" i="16"/>
  <c r="B36" i="13"/>
  <c r="B35" i="13"/>
  <c r="C35" i="13" s="1"/>
  <c r="B33" i="13"/>
  <c r="B32" i="13"/>
  <c r="B34"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<sst xmlns="http://schemas.openxmlformats.org/spreadsheetml/2006/main" count="2448" uniqueCount="883">
  <si>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</si>
  <si>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</si>
  <si>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</si>
  <si>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</si>
  <si>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</si>
  <si>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</si>
  <si>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</si>
  <si>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</si>
  <si>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</si>
  <si>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</si>
  <si>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</si>
  <si>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</si>
  <si>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</si>
  <si>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</si>
  <si>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</si>
  <si>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</si>
  <si>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</si>
  <si>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</si>
  <si>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</si>
  <si>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</si>
  <si>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</si>
  <si>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</si>
  <si>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</si>
  <si>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</si>
  <si>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</si>
  <si>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</si>
  <si>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</si>
  <si>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</si>
  <si>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</si>
  <si>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</si>
  <si>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</si>
  <si>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</si>
  <si>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</si>
  <si>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</si>
  <si>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</si>
  <si>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</si>
  <si>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</si>
  <si>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</si>
  <si>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</si>
  <si>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</si>
  <si>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</si>
  <si>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</si>
  <si>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</si>
  <si>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</si>
  <si>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</si>
  <si>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</si>
  <si>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</si>
  <si>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</si>
  <si>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</si>
  <si>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</si>
  <si>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</si>
  <si>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</si>
  <si>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</si>
  <si>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</si>
  <si>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</si>
  <si>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</si>
  <si>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</si>
  <si>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</si>
  <si>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</si>
  <si>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</si>
  <si>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</si>
  <si>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</si>
  <si>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</si>
  <si>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</si>
  <si>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</si>
  <si>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</si>
  <si>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</si>
  <si>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</si>
  <si>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</si>
  <si>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</si>
  <si>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</si>
  <si>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</si>
  <si>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</si>
  <si>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</si>
  <si>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</si>
  <si>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</si>
  <si>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</si>
  <si>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</si>
  <si>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</si>
  <si>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</si>
  <si>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</si>
  <si>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</si>
  <si>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</si>
  <si>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</si>
  <si>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</si>
  <si>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</si>
  <si>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</si>
  <si>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</si>
  <si>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</si>
  <si>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</si>
  <si>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</si>
  <si>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</si>
  <si>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</si>
  <si>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</si>
  <si>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</si>
  <si>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</si>
  <si>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</si>
  <si>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</si>
  <si>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</si>
  <si>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</si>
  <si>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</si>
  <si>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</si>
  <si>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</si>
  <si>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</si>
  <si>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</si>
  <si>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</si>
  <si>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</si>
  <si>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</si>
  <si>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</si>
  <si>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</si>
  <si>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</si>
  <si>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</si>
  <si>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</si>
  <si>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</si>
  <si>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</si>
  <si>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</si>
  <si>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</si>
  <si>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</si>
  <si>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</si>
  <si>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</si>
  <si>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</si>
  <si>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</si>
  <si>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</si>
  <si>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</si>
  <si>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</si>
  <si>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</si>
  <si>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</si>
  <si>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</si>
  <si>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</si>
  <si>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</si>
  <si>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</si>
  <si>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</si>
  <si>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</si>
  <si>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</si>
  <si>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</si>
  <si>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</si>
  <si>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</si>
  <si>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</si>
  <si>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</si>
  <si>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</si>
  <si>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</si>
  <si>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</si>
  <si>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</si>
  <si>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</si>
  <si>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</si>
  <si>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</si>
  <si>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</si>
  <si>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</si>
  <si>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</si>
  <si>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</si>
  <si>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</si>
  <si>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</si>
  <si>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</si>
  <si>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</si>
  <si>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</si>
  <si>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</si>
  <si>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</si>
  <si>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</si>
  <si>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</si>
  <si>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</si>
  <si>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</si>
  <si>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</si>
  <si>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</si>
  <si>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</si>
  <si>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</si>
  <si>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</si>
  <si>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</si>
  <si>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</si>
  <si>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</si>
  <si>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</si>
  <si>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</si>
  <si>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</si>
  <si>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</si>
  <si>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</si>
  <si>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</si>
  <si>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</si>
  <si>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</si>
  <si>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</si>
  <si>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</si>
  <si>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</si>
  <si>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</si>
  <si>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</si>
  <si>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</si>
  <si>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</si>
  <si>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</si>
  <si>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</si>
  <si>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</si>
  <si>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</si>
  <si>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</si>
  <si>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</si>
  <si>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</si>
  <si>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</si>
  <si>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</si>
  <si>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</si>
  <si>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</si>
  <si>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</si>
  <si>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</si>
  <si>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</si>
  <si>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</si>
  <si>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</si>
  <si>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</si>
  <si>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</si>
  <si>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</si>
  <si>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</si>
  <si>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</si>
  <si>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</si>
  <si>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</si>
  <si>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</si>
  <si>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</si>
  <si>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</si>
  <si>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</si>
  <si>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</si>
  <si>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</si>
  <si>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</si>
  <si>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</si>
  <si>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</si>
  <si>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</si>
  <si>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</si>
  <si>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</si>
  <si>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</si>
  <si>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</si>
  <si>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</si>
  <si>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</si>
  <si>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</si>
  <si>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</si>
  <si>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</si>
  <si>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</si>
  <si>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</si>
  <si>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</si>
  <si>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</si>
  <si>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</si>
  <si>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</si>
  <si>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</si>
  <si>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</si>
  <si>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</si>
  <si>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</si>
  <si>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</si>
  <si>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</si>
  <si>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</si>
  <si>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</si>
  <si>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</si>
  <si>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</si>
  <si>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</si>
  <si>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</si>
  <si>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</si>
  <si>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</si>
  <si>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</si>
  <si>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</si>
  <si>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</si>
  <si>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</si>
  <si>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</si>
  <si>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</si>
  <si>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</si>
  <si>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</si>
  <si>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</si>
  <si>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</si>
  <si>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</si>
  <si>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</si>
  <si>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</si>
  <si>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</si>
  <si>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</si>
  <si>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</si>
  <si>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</si>
  <si>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</si>
  <si>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</si>
  <si>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</si>
  <si>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</si>
  <si>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</si>
  <si>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</si>
  <si>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</si>
  <si>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</si>
  <si>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</si>
  <si>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</si>
  <si>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</si>
  <si>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</si>
  <si>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</si>
  <si>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</si>
  <si>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</si>
  <si>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</si>
  <si>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</si>
  <si>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</si>
  <si>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</si>
  <si>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</si>
  <si>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</si>
  <si>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</si>
  <si>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</si>
  <si>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</si>
  <si>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</si>
  <si>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</si>
  <si>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</si>
  <si>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</si>
  <si>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</si>
  <si>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</si>
  <si>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</si>
  <si>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</si>
  <si>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</si>
  <si>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</si>
  <si>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</si>
  <si>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</si>
  <si>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</si>
  <si>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</si>
  <si>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</si>
  <si>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</si>
  <si>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</si>
  <si>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</si>
  <si>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</si>
  <si>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</si>
  <si>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</si>
  <si>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</si>
  <si>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</si>
  <si>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</si>
  <si>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</si>
  <si>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</si>
  <si>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</si>
  <si>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</si>
  <si>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</si>
  <si>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</si>
  <si>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</si>
  <si>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</si>
  <si>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</si>
  <si>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</si>
  <si>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</si>
  <si>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</si>
  <si>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</si>
  <si>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</si>
  <si>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</si>
  <si>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</si>
  <si>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</si>
  <si>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</si>
  <si>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</si>
  <si>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</si>
  <si>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</si>
  <si>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</si>
  <si>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</si>
  <si>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</si>
  <si>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</si>
  <si>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</si>
  <si>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</si>
  <si>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</si>
  <si>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</si>
  <si>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</si>
  <si>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</si>
  <si>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</si>
  <si>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</si>
  <si>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</si>
  <si>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</si>
  <si>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</si>
  <si>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</si>
  <si>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</si>
  <si>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</si>
  <si>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</si>
  <si>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</si>
  <si>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</si>
  <si>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</si>
  <si>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</si>
  <si>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</si>
  <si>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</si>
  <si>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</si>
  <si>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</si>
  <si>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</si>
  <si>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</si>
  <si>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</si>
  <si>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</si>
  <si>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</si>
  <si>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</si>
  <si>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</si>
  <si>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</si>
  <si>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</si>
  <si>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</si>
  <si>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</si>
  <si>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</si>
  <si>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</si>
  <si>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</si>
  <si>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</si>
  <si>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</si>
  <si>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</si>
  <si>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</si>
  <si>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</si>
  <si>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</si>
  <si>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</si>
  <si>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</si>
  <si>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</si>
  <si>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</si>
  <si>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</si>
  <si>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</si>
  <si>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</si>
  <si>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</si>
  <si>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</si>
  <si>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</si>
  <si>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</si>
  <si>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</si>
  <si>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</si>
  <si>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</si>
  <si>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</si>
  <si>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</si>
  <si>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</si>
  <si>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</si>
  <si>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</si>
  <si>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</si>
  <si>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</si>
  <si>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</si>
  <si>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</si>
  <si>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</si>
  <si>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</si>
  <si>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</si>
  <si>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</si>
  <si>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</si>
  <si>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</si>
  <si>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</si>
  <si>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</si>
  <si>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</si>
  <si>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</si>
  <si>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</si>
  <si>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</si>
  <si>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</si>
  <si>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</si>
  <si>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</si>
  <si>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</si>
  <si>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</si>
  <si>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</si>
  <si>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</si>
  <si>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</si>
  <si>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</si>
  <si>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</si>
  <si>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</si>
  <si>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</si>
  <si>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</si>
  <si>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</si>
  <si>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</si>
  <si>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</si>
  <si>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</si>
  <si>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</si>
  <si>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</si>
  <si>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</si>
  <si>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</si>
  <si>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</si>
  <si>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</si>
  <si>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</si>
  <si>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</si>
  <si>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</si>
  <si>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</si>
  <si>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</si>
  <si>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</si>
  <si>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</si>
  <si>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</si>
  <si>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</si>
  <si>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</si>
  <si>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</si>
  <si>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</si>
  <si>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</si>
  <si>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</si>
  <si>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</si>
  <si>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</si>
  <si>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</si>
  <si>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</si>
  <si>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</si>
  <si>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</si>
  <si>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</si>
  <si>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</si>
  <si>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</si>
  <si>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</si>
  <si>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</si>
  <si>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</si>
  <si>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</si>
  <si>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</si>
  <si>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</si>
  <si>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</si>
  <si>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</si>
  <si>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</si>
  <si>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</si>
  <si>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</si>
  <si>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</si>
  <si>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</si>
  <si>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</si>
  <si>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</si>
  <si>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</si>
  <si>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</si>
  <si>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</si>
  <si>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</si>
  <si>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</si>
  <si>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</si>
  <si>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</si>
  <si>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</si>
  <si>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</si>
  <si>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</si>
  <si>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</si>
  <si>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</si>
  <si>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</si>
  <si>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</si>
  <si>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</si>
  <si>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</si>
  <si>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</si>
  <si>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</si>
  <si>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</si>
  <si>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</si>
  <si>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</si>
  <si>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</si>
  <si>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</si>
  <si>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</si>
  <si>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</si>
  <si>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</si>
  <si>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</si>
  <si>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</si>
  <si>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</si>
  <si>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</si>
  <si>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</si>
  <si>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</si>
  <si>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</si>
  <si>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</si>
  <si>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</si>
  <si>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</si>
  <si>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</si>
  <si>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</si>
  <si>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</si>
  <si>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</si>
  <si>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</si>
  <si>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</si>
  <si>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</si>
  <si>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</si>
  <si>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</si>
  <si>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</si>
  <si>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</si>
  <si>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</si>
  <si>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</si>
  <si>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</si>
  <si>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</si>
  <si>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</si>
  <si>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</si>
  <si>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</si>
  <si>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</si>
  <si>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</si>
  <si>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</si>
  <si>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</si>
  <si>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</si>
  <si>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</si>
  <si>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</si>
  <si>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</si>
  <si>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</si>
  <si>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</si>
  <si>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</si>
  <si>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</si>
  <si>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</si>
  <si>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</si>
  <si>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</si>
  <si>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</si>
  <si>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</si>
  <si>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</si>
  <si>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</si>
  <si>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</si>
  <si>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</si>
  <si>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</si>
  <si>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</si>
  <si>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</si>
  <si>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</si>
  <si>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</si>
  <si>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</si>
  <si>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</si>
  <si>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</si>
  <si>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</si>
  <si>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</si>
  <si>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</si>
  <si>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</si>
  <si>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</si>
  <si>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</si>
  <si>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</si>
  <si>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</si>
  <si>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</si>
  <si>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</si>
  <si>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</si>
  <si>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</si>
  <si>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</si>
  <si>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</si>
  <si>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</si>
  <si>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</si>
  <si>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</si>
  <si>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</si>
  <si>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</si>
  <si>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</si>
  <si>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</si>
  <si>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</si>
  <si>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</si>
  <si>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</si>
  <si>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</si>
  <si>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</si>
  <si>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</si>
  <si>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</si>
  <si>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</si>
  <si>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</si>
  <si>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</si>
  <si>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</si>
  <si>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</si>
  <si>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</si>
  <si>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</si>
  <si>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</si>
  <si>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</si>
  <si>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</si>
  <si>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</si>
  <si>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</si>
  <si>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</si>
  <si>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</si>
  <si>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</si>
  <si>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</si>
  <si>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</si>
  <si>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</si>
  <si>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</si>
  <si>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</si>
  <si>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</si>
  <si>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</si>
  <si>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</si>
  <si>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</si>
  <si>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</si>
  <si>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</si>
  <si>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</si>
  <si>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</si>
  <si>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</si>
  <si>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</si>
  <si>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</si>
  <si>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</si>
  <si>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</si>
  <si>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</si>
  <si>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</si>
  <si>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</si>
  <si>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</si>
  <si>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</si>
  <si>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</si>
  <si>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</si>
  <si>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</si>
  <si>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</si>
  <si>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</si>
  <si>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</si>
  <si>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</si>
  <si>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</si>
  <si>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</si>
  <si>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</si>
  <si>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</si>
  <si>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</si>
  <si>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</si>
  <si>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</si>
  <si>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</si>
  <si>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</si>
  <si>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</si>
  <si>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</si>
  <si>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</si>
  <si>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</si>
  <si>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</si>
  <si>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</si>
  <si>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</si>
  <si>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</si>
  <si>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</si>
  <si>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</si>
  <si>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</si>
  <si>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</si>
  <si>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</si>
  <si>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</si>
  <si>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</si>
  <si>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</si>
  <si>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</si>
  <si>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</si>
  <si>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</si>
  <si>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</si>
  <si>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</si>
  <si>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</si>
  <si>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</si>
  <si>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</si>
  <si>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</si>
  <si>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</si>
  <si>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</si>
  <si>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</si>
  <si>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</si>
  <si>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</si>
  <si>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</si>
  <si>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</si>
  <si>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</si>
  <si>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</si>
  <si>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</si>
  <si>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</si>
  <si>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</si>
  <si>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</si>
  <si>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</si>
  <si>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</si>
  <si>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</si>
  <si>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</si>
  <si>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</si>
  <si>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</si>
  <si>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</si>
  <si>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</si>
  <si>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</si>
  <si>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</si>
  <si>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</si>
  <si>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</si>
  <si>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</si>
  <si>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</si>
  <si>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</si>
  <si>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</si>
  <si>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</si>
  <si>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</si>
  <si>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</si>
  <si>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</si>
  <si>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</si>
  <si>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</si>
  <si>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</si>
  <si>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</si>
  <si>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</si>
  <si>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</si>
  <si>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</si>
  <si>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</si>
  <si>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</si>
  <si>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</si>
  <si>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</si>
  <si>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</si>
  <si>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</si>
  <si>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</si>
  <si>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</si>
  <si>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</si>
  <si>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</si>
  <si>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</si>
  <si>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</si>
  <si>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</si>
  <si>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</si>
  <si>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</si>
  <si>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</si>
  <si>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</si>
  <si>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</si>
  <si>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</si>
  <si>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</si>
  <si>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</si>
  <si>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</si>
  <si>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</si>
  <si>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</si>
  <si>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</si>
  <si>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</si>
  <si>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</si>
  <si>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</si>
  <si>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</si>
  <si>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</si>
  <si>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</si>
  <si>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</si>
  <si>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</si>
  <si>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</si>
  <si>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</si>
  <si>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</si>
  <si>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</si>
  <si>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</si>
  <si>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</si>
  <si>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</si>
  <si>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</si>
  <si>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</si>
  <si>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</si>
  <si>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</si>
  <si>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</si>
  <si>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</si>
  <si>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</si>
  <si>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</si>
  <si>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</si>
  <si>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</si>
  <si>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</si>
  <si>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</si>
  <si>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</si>
  <si>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</si>
  <si>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</si>
  <si>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</si>
  <si>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</si>
  <si>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</si>
  <si>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</si>
  <si>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</si>
  <si>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</si>
  <si>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</si>
  <si>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</si>
  <si>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</si>
  <si>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</si>
  <si>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</si>
  <si>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</si>
  <si>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</si>
  <si>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</si>
  <si>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</si>
  <si>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</si>
  <si>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</si>
  <si>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</si>
  <si>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</si>
  <si>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</si>
  <si>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</si>
  <si>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</si>
  <si>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</si>
  <si>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</si>
  <si>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</si>
  <si>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</si>
  <si>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</si>
  <si>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</si>
  <si>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</si>
  <si>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</si>
  <si>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</si>
  <si>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</si>
  <si>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</si>
  <si>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</si>
  <si>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</si>
  <si>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</si>
  <si>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</si>
  <si>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</si>
  <si>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</si>
  <si>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</si>
  <si>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</si>
  <si>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</si>
  <si>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</si>
  <si>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</si>
  <si>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</si>
  <si>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</si>
  <si>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</si>
  <si>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</si>
  <si>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</si>
  <si>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</si>
  <si>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</si>
  <si>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</si>
  <si>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</si>
  <si>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</si>
  <si>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</si>
  <si>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</si>
  <si>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</si>
  <si>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</si>
  <si>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</si>
  <si>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</si>
  <si>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</si>
  <si>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</si>
  <si>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</si>
  <si>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</si>
  <si>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</si>
  <si>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</si>
  <si>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</si>
  <si>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</si>
  <si>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</si>
  <si>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</si>
  <si>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</si>
  <si>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</si>
  <si>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</si>
  <si>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</si>
  <si>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</si>
  <si>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</si>
  <si>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</si>
  <si>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</si>
  <si>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</si>
  <si>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</si>
  <si>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</si>
  <si>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</si>
  <si>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</si>
  <si>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</si>
  <si>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</si>
  <si>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</si>
  <si>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</si>
  <si>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</si>
  <si>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</si>
  <si>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</si>
  <si>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</si>
  <si>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</si>
  <si>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</si>
  <si>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</si>
  <si>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</si>
  <si>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</si>
  <si>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</si>
  <si>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</si>
  <si>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</si>
  <si>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</si>
  <si>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</si>
  <si>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</si>
  <si>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</si>
  <si>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</si>
  <si>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</si>
  <si>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</si>
  <si>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</si>
  <si>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</si>
  <si>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</si>
  <si>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</si>
  <si>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</si>
  <si>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</si>
  <si>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</si>
  <si>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</si>
  <si>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</si>
  <si>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</si>
  <si>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</si>
  <si>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</si>
  <si>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</si>
  <si>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23044</t>
  </si>
  <si>
    <t>LIEDEKERKE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</si>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</sst>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110130.50389281884</c:v>
                </c:pt>
                <c:pt idx="1">
                  <c:v>29439.596194544964</c:v>
                </c:pt>
                <c:pt idx="2">
                  <c:v>556.39400000000001</c:v>
                </c:pt>
                <c:pt idx="3">
                  <c:v>395.46375861080224</c:v>
                </c:pt>
                <c:pt idx="4">
                  <c:v>11300.940432317124</c:v>
                </c:pt>
                <c:pt idx="5">
                  <c:v>29904.277396458554</c:v>
                </c:pt>
                <c:pt idx="6">
                  <c:v>1120.1788145191297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110130.50389281884</c:v>
                </c:pt>
                <c:pt idx="1">
                  <c:v>29439.596194544964</c:v>
                </c:pt>
                <c:pt idx="2">
                  <c:v>556.39400000000001</c:v>
                </c:pt>
                <c:pt idx="3">
                  <c:v>395.46375861080224</c:v>
                </c:pt>
                <c:pt idx="4">
                  <c:v>11300.940432317124</c:v>
                </c:pt>
                <c:pt idx="5">
                  <c:v>29904.277396458554</c:v>
                </c:pt>
                <c:pt idx="6">
                  <c:v>1120.1788145191297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22923.664887076946</c:v>
                </c:pt>
                <c:pt idx="1">
                  <c:v>5903.82692352903</c:v>
                </c:pt>
                <c:pt idx="2">
                  <c:v>114.20053427519123</c:v>
                </c:pt>
                <c:pt idx="3">
                  <c:v>95.947687361314109</c:v>
                </c:pt>
                <c:pt idx="4">
                  <c:v>2428.402529032348</c:v>
                </c:pt>
                <c:pt idx="5">
                  <c:v>7407.6488329207623</c:v>
                </c:pt>
                <c:pt idx="6">
                  <c:v>282.73551914656127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22923.664887076946</c:v>
                </c:pt>
                <c:pt idx="1">
                  <c:v>5903.82692352903</c:v>
                </c:pt>
                <c:pt idx="2">
                  <c:v>114.20053427519123</c:v>
                </c:pt>
                <c:pt idx="3">
                  <c:v>95.947687361314109</c:v>
                </c:pt>
                <c:pt idx="4">
                  <c:v>2428.402529032348</c:v>
                </c:pt>
                <c:pt idx="5">
                  <c:v>7407.6488329207623</c:v>
                </c:pt>
                <c:pt idx="6">
                  <c:v>282.73551914656127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23044</v>
      </c>
      <c r="B6" s="386"/>
      <c r="C6" s="387"/>
    </row>
    <row r="7" spans="1:7" s="384" customFormat="1" ht="15.75" customHeight="1">
      <c r="A7" s="388" t="str">
        <f>txtMunicipality</f>
        <v>LIEDEKERKE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13430.199956764294</v>
      </c>
      <c r="D10" s="682">
        <f ca="1">tertiair!C16</f>
        <v>0</v>
      </c>
      <c r="E10" s="682">
        <f ca="1">tertiair!D16</f>
        <v>11701.886093288198</v>
      </c>
      <c r="F10" s="682">
        <f>tertiair!E16</f>
        <v>70.599221095321667</v>
      </c>
      <c r="G10" s="682">
        <f ca="1">tertiair!F16</f>
        <v>3302.0279173413132</v>
      </c>
      <c r="H10" s="682">
        <f>tertiair!G16</f>
        <v>0</v>
      </c>
      <c r="I10" s="682">
        <f>tertiair!H16</f>
        <v>0</v>
      </c>
      <c r="J10" s="682">
        <f>tertiair!I16</f>
        <v>0</v>
      </c>
      <c r="K10" s="682">
        <f>tertiair!J16</f>
        <v>4.0616609511921517E-2</v>
      </c>
      <c r="L10" s="682">
        <f>tertiair!K16</f>
        <v>0</v>
      </c>
      <c r="M10" s="682">
        <f ca="1">tertiair!L16</f>
        <v>0</v>
      </c>
      <c r="N10" s="682">
        <f>tertiair!M16</f>
        <v>0</v>
      </c>
      <c r="O10" s="682">
        <f ca="1">tertiair!N16</f>
        <v>1481.4418679146379</v>
      </c>
      <c r="P10" s="682">
        <f>tertiair!O16</f>
        <v>9.7945215316823084</v>
      </c>
      <c r="Q10" s="683">
        <f>tertiair!P16</f>
        <v>0</v>
      </c>
      <c r="R10" s="685">
        <f ca="1">SUM(C10:Q10)</f>
        <v>29995.990194544964</v>
      </c>
      <c r="S10" s="67"/>
    </row>
    <row r="11" spans="1:19" s="445" customFormat="1">
      <c r="A11" s="803" t="s">
        <v>220</v>
      </c>
      <c r="B11" s="808"/>
      <c r="C11" s="682">
        <f>huishoudens!B8</f>
        <v>22332.106202940529</v>
      </c>
      <c r="D11" s="682">
        <f>huishoudens!C8</f>
        <v>0</v>
      </c>
      <c r="E11" s="682">
        <f>huishoudens!D8</f>
        <v>45258.316918782664</v>
      </c>
      <c r="F11" s="682">
        <f>huishoudens!E8</f>
        <v>1452.6274049508729</v>
      </c>
      <c r="G11" s="682">
        <f>huishoudens!F8</f>
        <v>32994.8054404465</v>
      </c>
      <c r="H11" s="682">
        <f>huishoudens!G8</f>
        <v>0</v>
      </c>
      <c r="I11" s="682">
        <f>huishoudens!H8</f>
        <v>0</v>
      </c>
      <c r="J11" s="682">
        <f>huishoudens!I8</f>
        <v>0</v>
      </c>
      <c r="K11" s="682">
        <f>huishoudens!J8</f>
        <v>165.06744475572376</v>
      </c>
      <c r="L11" s="682">
        <f>huishoudens!K8</f>
        <v>0</v>
      </c>
      <c r="M11" s="682">
        <f>huishoudens!L8</f>
        <v>0</v>
      </c>
      <c r="N11" s="682">
        <f>huishoudens!M8</f>
        <v>0</v>
      </c>
      <c r="O11" s="682">
        <f>huishoudens!N8</f>
        <v>7449.2083887587169</v>
      </c>
      <c r="P11" s="682">
        <f>huishoudens!O8</f>
        <v>236.09102810705679</v>
      </c>
      <c r="Q11" s="683">
        <f>huishoudens!P8</f>
        <v>242.28106407675551</v>
      </c>
      <c r="R11" s="685">
        <f>SUM(C11:Q11)</f>
        <v>110130.50389281884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5263.0458130701691</v>
      </c>
      <c r="D13" s="682">
        <f>industrie!C18</f>
        <v>0</v>
      </c>
      <c r="E13" s="682">
        <f>industrie!D18</f>
        <v>3132.0085618070043</v>
      </c>
      <c r="F13" s="682">
        <f>industrie!E18</f>
        <v>15.829619084280454</v>
      </c>
      <c r="G13" s="682">
        <f>industrie!F18</f>
        <v>2666.1521558247196</v>
      </c>
      <c r="H13" s="682">
        <f>industrie!G18</f>
        <v>0</v>
      </c>
      <c r="I13" s="682">
        <f>industrie!H18</f>
        <v>0</v>
      </c>
      <c r="J13" s="682">
        <f>industrie!I18</f>
        <v>0</v>
      </c>
      <c r="K13" s="682">
        <f>industrie!J18</f>
        <v>9.717393290139989E-2</v>
      </c>
      <c r="L13" s="682">
        <f>industrie!K18</f>
        <v>0</v>
      </c>
      <c r="M13" s="682">
        <f>industrie!L18</f>
        <v>0</v>
      </c>
      <c r="N13" s="682">
        <f>industrie!M18</f>
        <v>0</v>
      </c>
      <c r="O13" s="682">
        <f>industrie!N18</f>
        <v>223.80710859804748</v>
      </c>
      <c r="P13" s="682">
        <f>industrie!O18</f>
        <v>0</v>
      </c>
      <c r="Q13" s="683">
        <f>industrie!P18</f>
        <v>0</v>
      </c>
      <c r="R13" s="685">
        <f>SUM(C13:Q13)</f>
        <v>11300.940432317124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41025.351972774988</v>
      </c>
      <c r="D16" s="718">
        <f t="shared" ref="D16:R16" ca="1" si="0">SUM(D9:D15)</f>
        <v>0</v>
      </c>
      <c r="E16" s="718">
        <f t="shared" ca="1" si="0"/>
        <v>60092.211573877867</v>
      </c>
      <c r="F16" s="718">
        <f t="shared" si="0"/>
        <v>1539.056245130475</v>
      </c>
      <c r="G16" s="718">
        <f t="shared" ca="1" si="0"/>
        <v>38962.985513612533</v>
      </c>
      <c r="H16" s="718">
        <f t="shared" si="0"/>
        <v>0</v>
      </c>
      <c r="I16" s="718">
        <f t="shared" si="0"/>
        <v>0</v>
      </c>
      <c r="J16" s="718">
        <f t="shared" si="0"/>
        <v>0</v>
      </c>
      <c r="K16" s="718">
        <f t="shared" si="0"/>
        <v>165.20523529813707</v>
      </c>
      <c r="L16" s="718">
        <f t="shared" si="0"/>
        <v>0</v>
      </c>
      <c r="M16" s="718">
        <f t="shared" ca="1" si="0"/>
        <v>0</v>
      </c>
      <c r="N16" s="718">
        <f t="shared" si="0"/>
        <v>0</v>
      </c>
      <c r="O16" s="718">
        <f t="shared" ca="1" si="0"/>
        <v>9154.4573652714025</v>
      </c>
      <c r="P16" s="718">
        <f t="shared" si="0"/>
        <v>245.88554963873909</v>
      </c>
      <c r="Q16" s="718">
        <f t="shared" si="0"/>
        <v>242.28106407675551</v>
      </c>
      <c r="R16" s="718">
        <f t="shared" ca="1" si="0"/>
        <v>151427.43451968092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14.677472117264747</v>
      </c>
      <c r="D19" s="682">
        <f>transport!C54</f>
        <v>0</v>
      </c>
      <c r="E19" s="682">
        <f>transport!D54</f>
        <v>0</v>
      </c>
      <c r="F19" s="682">
        <f>transport!E54</f>
        <v>0</v>
      </c>
      <c r="G19" s="682">
        <f>transport!F54</f>
        <v>0</v>
      </c>
      <c r="H19" s="682">
        <f>transport!G54</f>
        <v>1047.6514997437616</v>
      </c>
      <c r="I19" s="682">
        <f>transport!H54</f>
        <v>0</v>
      </c>
      <c r="J19" s="682">
        <f>transport!I54</f>
        <v>0</v>
      </c>
      <c r="K19" s="682">
        <f>transport!J54</f>
        <v>0</v>
      </c>
      <c r="L19" s="682">
        <f>transport!K54</f>
        <v>0</v>
      </c>
      <c r="M19" s="682">
        <f>transport!L54</f>
        <v>0</v>
      </c>
      <c r="N19" s="682">
        <f>transport!M54</f>
        <v>57.849842658103348</v>
      </c>
      <c r="O19" s="682">
        <f>transport!N54</f>
        <v>0</v>
      </c>
      <c r="P19" s="682">
        <f>transport!O54</f>
        <v>0</v>
      </c>
      <c r="Q19" s="683">
        <f>transport!P54</f>
        <v>0</v>
      </c>
      <c r="R19" s="685">
        <f>SUM(C19:Q19)</f>
        <v>1120.1788145191297</v>
      </c>
      <c r="S19" s="67"/>
    </row>
    <row r="20" spans="1:19" s="445" customFormat="1">
      <c r="A20" s="803" t="s">
        <v>302</v>
      </c>
      <c r="B20" s="808"/>
      <c r="C20" s="682">
        <f>transport!B14</f>
        <v>55.467044495163101</v>
      </c>
      <c r="D20" s="682">
        <f>transport!C14</f>
        <v>0</v>
      </c>
      <c r="E20" s="682">
        <f>transport!D14</f>
        <v>109.55794165357742</v>
      </c>
      <c r="F20" s="682">
        <f>transport!E14</f>
        <v>59.505766736820242</v>
      </c>
      <c r="G20" s="682">
        <f>transport!F14</f>
        <v>0</v>
      </c>
      <c r="H20" s="682">
        <f>transport!G14</f>
        <v>21384.853551942313</v>
      </c>
      <c r="I20" s="682">
        <f>transport!H14</f>
        <v>6629.9989720279973</v>
      </c>
      <c r="J20" s="682">
        <f>transport!I14</f>
        <v>0</v>
      </c>
      <c r="K20" s="682">
        <f>transport!J14</f>
        <v>0</v>
      </c>
      <c r="L20" s="682">
        <f>transport!K14</f>
        <v>0</v>
      </c>
      <c r="M20" s="682">
        <f>transport!L14</f>
        <v>0</v>
      </c>
      <c r="N20" s="682">
        <f>transport!M14</f>
        <v>1664.894119602684</v>
      </c>
      <c r="O20" s="682">
        <f>transport!N14</f>
        <v>0</v>
      </c>
      <c r="P20" s="682">
        <f>transport!O14</f>
        <v>0</v>
      </c>
      <c r="Q20" s="683">
        <f>transport!P14</f>
        <v>0</v>
      </c>
      <c r="R20" s="685">
        <f>SUM(C20:Q20)</f>
        <v>29904.277396458554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70.14451661242785</v>
      </c>
      <c r="D22" s="806">
        <f t="shared" ref="D22:R22" si="1">SUM(D18:D21)</f>
        <v>0</v>
      </c>
      <c r="E22" s="806">
        <f t="shared" si="1"/>
        <v>109.55794165357742</v>
      </c>
      <c r="F22" s="806">
        <f t="shared" si="1"/>
        <v>59.505766736820242</v>
      </c>
      <c r="G22" s="806">
        <f t="shared" si="1"/>
        <v>0</v>
      </c>
      <c r="H22" s="806">
        <f t="shared" si="1"/>
        <v>22432.505051686076</v>
      </c>
      <c r="I22" s="806">
        <f t="shared" si="1"/>
        <v>6629.9989720279973</v>
      </c>
      <c r="J22" s="806">
        <f t="shared" si="1"/>
        <v>0</v>
      </c>
      <c r="K22" s="806">
        <f t="shared" si="1"/>
        <v>0</v>
      </c>
      <c r="L22" s="806">
        <f t="shared" si="1"/>
        <v>0</v>
      </c>
      <c r="M22" s="806">
        <f t="shared" si="1"/>
        <v>0</v>
      </c>
      <c r="N22" s="806">
        <f t="shared" si="1"/>
        <v>1722.7439622607874</v>
      </c>
      <c r="O22" s="806">
        <f t="shared" si="1"/>
        <v>0</v>
      </c>
      <c r="P22" s="806">
        <f t="shared" si="1"/>
        <v>0</v>
      </c>
      <c r="Q22" s="806">
        <f t="shared" si="1"/>
        <v>0</v>
      </c>
      <c r="R22" s="806">
        <f t="shared" si="1"/>
        <v>31024.456210977685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63.003673080537006</v>
      </c>
      <c r="D24" s="682">
        <f>+landbouw!C8</f>
        <v>0</v>
      </c>
      <c r="E24" s="682">
        <f>+landbouw!D8</f>
        <v>109.16344956882263</v>
      </c>
      <c r="F24" s="682">
        <f>+landbouw!E8</f>
        <v>2.3495996836617392</v>
      </c>
      <c r="G24" s="682">
        <f>+landbouw!F8</f>
        <v>204.40826105085682</v>
      </c>
      <c r="H24" s="682">
        <f>+landbouw!G8</f>
        <v>0</v>
      </c>
      <c r="I24" s="682">
        <f>+landbouw!H8</f>
        <v>0</v>
      </c>
      <c r="J24" s="682">
        <f>+landbouw!I8</f>
        <v>0</v>
      </c>
      <c r="K24" s="682">
        <f>+landbouw!J8</f>
        <v>16.538775226924034</v>
      </c>
      <c r="L24" s="682">
        <f>+landbouw!K8</f>
        <v>0</v>
      </c>
      <c r="M24" s="682">
        <f>+landbouw!L8</f>
        <v>0</v>
      </c>
      <c r="N24" s="682">
        <f>+landbouw!M8</f>
        <v>0</v>
      </c>
      <c r="O24" s="682">
        <f>+landbouw!N8</f>
        <v>0</v>
      </c>
      <c r="P24" s="682">
        <f>+landbouw!O8</f>
        <v>0</v>
      </c>
      <c r="Q24" s="683">
        <f>+landbouw!P8</f>
        <v>0</v>
      </c>
      <c r="R24" s="685">
        <f>SUM(C24:Q24)</f>
        <v>395.46375861080224</v>
      </c>
      <c r="S24" s="67"/>
    </row>
    <row r="25" spans="1:19" s="445" customFormat="1" ht="15" thickBot="1">
      <c r="A25" s="825" t="s">
        <v>703</v>
      </c>
      <c r="B25" s="938"/>
      <c r="C25" s="939">
        <f>IF(Onbekend_ele_kWh="---",0,Onbekend_ele_kWh)/1000+IF(REST_rest_ele_kWh="---",0,REST_rest_ele_kWh)/1000</f>
        <v>463.55051267458799</v>
      </c>
      <c r="D25" s="939"/>
      <c r="E25" s="939">
        <f>IF(onbekend_gas_kWh="---",0,onbekend_gas_kWh)/1000+IF(REST_rest_gas_kWh="---",0,REST_rest_gas_kWh)/1000</f>
        <v>1609.95096103418</v>
      </c>
      <c r="F25" s="939"/>
      <c r="G25" s="939"/>
      <c r="H25" s="939"/>
      <c r="I25" s="939"/>
      <c r="J25" s="939"/>
      <c r="K25" s="939"/>
      <c r="L25" s="939"/>
      <c r="M25" s="939"/>
      <c r="N25" s="939"/>
      <c r="O25" s="939"/>
      <c r="P25" s="939"/>
      <c r="Q25" s="940"/>
      <c r="R25" s="685">
        <f>SUM(C25:Q25)</f>
        <v>2073.5014737087681</v>
      </c>
      <c r="S25" s="67"/>
    </row>
    <row r="26" spans="1:19" s="445" customFormat="1" ht="15.75" thickBot="1">
      <c r="A26" s="690" t="s">
        <v>704</v>
      </c>
      <c r="B26" s="811"/>
      <c r="C26" s="806">
        <f>SUM(C24:C25)</f>
        <v>526.55418575512499</v>
      </c>
      <c r="D26" s="806">
        <f t="shared" ref="D26:R26" si="2">SUM(D24:D25)</f>
        <v>0</v>
      </c>
      <c r="E26" s="806">
        <f t="shared" si="2"/>
        <v>1719.1144106030026</v>
      </c>
      <c r="F26" s="806">
        <f t="shared" si="2"/>
        <v>2.3495996836617392</v>
      </c>
      <c r="G26" s="806">
        <f t="shared" si="2"/>
        <v>204.40826105085682</v>
      </c>
      <c r="H26" s="806">
        <f t="shared" si="2"/>
        <v>0</v>
      </c>
      <c r="I26" s="806">
        <f t="shared" si="2"/>
        <v>0</v>
      </c>
      <c r="J26" s="806">
        <f t="shared" si="2"/>
        <v>0</v>
      </c>
      <c r="K26" s="806">
        <f t="shared" si="2"/>
        <v>16.538775226924034</v>
      </c>
      <c r="L26" s="806">
        <f t="shared" si="2"/>
        <v>0</v>
      </c>
      <c r="M26" s="806">
        <f t="shared" si="2"/>
        <v>0</v>
      </c>
      <c r="N26" s="806">
        <f t="shared" si="2"/>
        <v>0</v>
      </c>
      <c r="O26" s="806">
        <f t="shared" si="2"/>
        <v>0</v>
      </c>
      <c r="P26" s="806">
        <f t="shared" si="2"/>
        <v>0</v>
      </c>
      <c r="Q26" s="806">
        <f t="shared" si="2"/>
        <v>0</v>
      </c>
      <c r="R26" s="806">
        <f t="shared" si="2"/>
        <v>2468.9652323195705</v>
      </c>
      <c r="S26" s="67"/>
    </row>
    <row r="27" spans="1:19" s="445" customFormat="1" ht="17.25" thickTop="1" thickBot="1">
      <c r="A27" s="691" t="s">
        <v>115</v>
      </c>
      <c r="B27" s="798"/>
      <c r="C27" s="692">
        <f ca="1">C22+C16+C26</f>
        <v>41622.050675142535</v>
      </c>
      <c r="D27" s="692">
        <f t="shared" ref="D27:R27" ca="1" si="3">D22+D16+D26</f>
        <v>0</v>
      </c>
      <c r="E27" s="692">
        <f t="shared" ca="1" si="3"/>
        <v>61920.883926134447</v>
      </c>
      <c r="F27" s="692">
        <f t="shared" si="3"/>
        <v>1600.9116115509571</v>
      </c>
      <c r="G27" s="692">
        <f t="shared" ca="1" si="3"/>
        <v>39167.393774663389</v>
      </c>
      <c r="H27" s="692">
        <f t="shared" si="3"/>
        <v>22432.505051686076</v>
      </c>
      <c r="I27" s="692">
        <f t="shared" si="3"/>
        <v>6629.9989720279973</v>
      </c>
      <c r="J27" s="692">
        <f t="shared" si="3"/>
        <v>0</v>
      </c>
      <c r="K27" s="692">
        <f t="shared" si="3"/>
        <v>181.7440105250611</v>
      </c>
      <c r="L27" s="692">
        <f t="shared" si="3"/>
        <v>0</v>
      </c>
      <c r="M27" s="692">
        <f t="shared" ca="1" si="3"/>
        <v>0</v>
      </c>
      <c r="N27" s="692">
        <f t="shared" si="3"/>
        <v>1722.7439622607874</v>
      </c>
      <c r="O27" s="692">
        <f t="shared" ca="1" si="3"/>
        <v>9154.4573652714025</v>
      </c>
      <c r="P27" s="692">
        <f t="shared" si="3"/>
        <v>245.88554963873909</v>
      </c>
      <c r="Q27" s="692">
        <f t="shared" si="3"/>
        <v>242.28106407675551</v>
      </c>
      <c r="R27" s="692">
        <f t="shared" ca="1" si="3"/>
        <v>184920.85596297818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2756.56461156147</v>
      </c>
      <c r="D40" s="682">
        <f ca="1">tertiair!C20</f>
        <v>0</v>
      </c>
      <c r="E40" s="682">
        <f ca="1">tertiair!D20</f>
        <v>2363.7809908442164</v>
      </c>
      <c r="F40" s="682">
        <f>tertiair!E20</f>
        <v>16.026023188638018</v>
      </c>
      <c r="G40" s="682">
        <f ca="1">tertiair!F20</f>
        <v>881.64145393013064</v>
      </c>
      <c r="H40" s="682">
        <f>tertiair!G20</f>
        <v>0</v>
      </c>
      <c r="I40" s="682">
        <f>tertiair!H20</f>
        <v>0</v>
      </c>
      <c r="J40" s="682">
        <f>tertiair!I20</f>
        <v>0</v>
      </c>
      <c r="K40" s="682">
        <f>tertiair!J20</f>
        <v>1.4378279767220217E-2</v>
      </c>
      <c r="L40" s="682">
        <f>tertiair!K20</f>
        <v>0</v>
      </c>
      <c r="M40" s="682">
        <f ca="1">tertiair!L20</f>
        <v>0</v>
      </c>
      <c r="N40" s="682">
        <f>tertiair!M20</f>
        <v>0</v>
      </c>
      <c r="O40" s="682">
        <f ca="1">tertiair!N20</f>
        <v>0</v>
      </c>
      <c r="P40" s="682">
        <f>tertiair!O20</f>
        <v>0</v>
      </c>
      <c r="Q40" s="765">
        <f>tertiair!P20</f>
        <v>0</v>
      </c>
      <c r="R40" s="844">
        <f t="shared" ca="1" si="4"/>
        <v>6018.0274578042217</v>
      </c>
    </row>
    <row r="41" spans="1:18">
      <c r="A41" s="816" t="s">
        <v>220</v>
      </c>
      <c r="B41" s="823"/>
      <c r="C41" s="682">
        <f ca="1">huishoudens!B12</f>
        <v>4583.6915205162541</v>
      </c>
      <c r="D41" s="682">
        <f ca="1">huishoudens!C12</f>
        <v>0</v>
      </c>
      <c r="E41" s="682">
        <f>huishoudens!D12</f>
        <v>9142.1800175940989</v>
      </c>
      <c r="F41" s="682">
        <f>huishoudens!E12</f>
        <v>329.74642092384818</v>
      </c>
      <c r="G41" s="682">
        <f>huishoudens!F12</f>
        <v>8809.6130525992157</v>
      </c>
      <c r="H41" s="682">
        <f>huishoudens!G12</f>
        <v>0</v>
      </c>
      <c r="I41" s="682">
        <f>huishoudens!H12</f>
        <v>0</v>
      </c>
      <c r="J41" s="682">
        <f>huishoudens!I12</f>
        <v>0</v>
      </c>
      <c r="K41" s="682">
        <f>huishoudens!J12</f>
        <v>58.433875443526205</v>
      </c>
      <c r="L41" s="682">
        <f>huishoudens!K12</f>
        <v>0</v>
      </c>
      <c r="M41" s="682">
        <f>huishoudens!L12</f>
        <v>0</v>
      </c>
      <c r="N41" s="682">
        <f>huishoudens!M12</f>
        <v>0</v>
      </c>
      <c r="O41" s="682">
        <f>huishoudens!N12</f>
        <v>0</v>
      </c>
      <c r="P41" s="682">
        <f>huishoudens!O12</f>
        <v>0</v>
      </c>
      <c r="Q41" s="765">
        <f>huishoudens!P12</f>
        <v>0</v>
      </c>
      <c r="R41" s="844">
        <f t="shared" ca="1" si="4"/>
        <v>22923.664887076946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1080.2464508377543</v>
      </c>
      <c r="D43" s="682">
        <f ca="1">industrie!C22</f>
        <v>0</v>
      </c>
      <c r="E43" s="682">
        <f>industrie!D22</f>
        <v>632.66572948501494</v>
      </c>
      <c r="F43" s="682">
        <f>industrie!E22</f>
        <v>3.593323532131663</v>
      </c>
      <c r="G43" s="682">
        <f>industrie!F22</f>
        <v>711.86262560520015</v>
      </c>
      <c r="H43" s="682">
        <f>industrie!G22</f>
        <v>0</v>
      </c>
      <c r="I43" s="682">
        <f>industrie!H22</f>
        <v>0</v>
      </c>
      <c r="J43" s="682">
        <f>industrie!I22</f>
        <v>0</v>
      </c>
      <c r="K43" s="682">
        <f>industrie!J22</f>
        <v>3.4399572247095563E-2</v>
      </c>
      <c r="L43" s="682">
        <f>industrie!K22</f>
        <v>0</v>
      </c>
      <c r="M43" s="682">
        <f>industrie!L22</f>
        <v>0</v>
      </c>
      <c r="N43" s="682">
        <f>industrie!M22</f>
        <v>0</v>
      </c>
      <c r="O43" s="682">
        <f>industrie!N22</f>
        <v>0</v>
      </c>
      <c r="P43" s="682">
        <f>industrie!O22</f>
        <v>0</v>
      </c>
      <c r="Q43" s="765">
        <f>industrie!P22</f>
        <v>0</v>
      </c>
      <c r="R43" s="843">
        <f t="shared" ca="1" si="4"/>
        <v>2428.402529032348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8420.5025829154783</v>
      </c>
      <c r="D46" s="718">
        <f t="shared" ref="D46:Q46" ca="1" si="5">SUM(D39:D45)</f>
        <v>0</v>
      </c>
      <c r="E46" s="718">
        <f t="shared" ca="1" si="5"/>
        <v>12138.62673792333</v>
      </c>
      <c r="F46" s="718">
        <f t="shared" si="5"/>
        <v>349.36576764461785</v>
      </c>
      <c r="G46" s="718">
        <f t="shared" ca="1" si="5"/>
        <v>10403.117132134546</v>
      </c>
      <c r="H46" s="718">
        <f t="shared" si="5"/>
        <v>0</v>
      </c>
      <c r="I46" s="718">
        <f t="shared" si="5"/>
        <v>0</v>
      </c>
      <c r="J46" s="718">
        <f t="shared" si="5"/>
        <v>0</v>
      </c>
      <c r="K46" s="718">
        <f t="shared" si="5"/>
        <v>58.482653295540523</v>
      </c>
      <c r="L46" s="718">
        <f t="shared" si="5"/>
        <v>0</v>
      </c>
      <c r="M46" s="718">
        <f t="shared" ca="1" si="5"/>
        <v>0</v>
      </c>
      <c r="N46" s="718">
        <f t="shared" si="5"/>
        <v>0</v>
      </c>
      <c r="O46" s="718">
        <f t="shared" ca="1" si="5"/>
        <v>0</v>
      </c>
      <c r="P46" s="718">
        <f t="shared" si="5"/>
        <v>0</v>
      </c>
      <c r="Q46" s="718">
        <f t="shared" si="5"/>
        <v>0</v>
      </c>
      <c r="R46" s="718">
        <f ca="1">SUM(R39:R45)</f>
        <v>31370.094873913516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3.012568714976898</v>
      </c>
      <c r="D49" s="682">
        <f ca="1">transport!C58</f>
        <v>0</v>
      </c>
      <c r="E49" s="682">
        <f>transport!D58</f>
        <v>0</v>
      </c>
      <c r="F49" s="682">
        <f>transport!E58</f>
        <v>0</v>
      </c>
      <c r="G49" s="682">
        <f>transport!F58</f>
        <v>0</v>
      </c>
      <c r="H49" s="682">
        <f>transport!G58</f>
        <v>279.72295043158437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282.73551914656127</v>
      </c>
    </row>
    <row r="50" spans="1:18">
      <c r="A50" s="819" t="s">
        <v>302</v>
      </c>
      <c r="B50" s="829"/>
      <c r="C50" s="688">
        <f ca="1">transport!B18</f>
        <v>11.384677253912569</v>
      </c>
      <c r="D50" s="688">
        <f>transport!C18</f>
        <v>0</v>
      </c>
      <c r="E50" s="688">
        <f>transport!D18</f>
        <v>22.130704214022639</v>
      </c>
      <c r="F50" s="688">
        <f>transport!E18</f>
        <v>13.507809049258196</v>
      </c>
      <c r="G50" s="688">
        <f>transport!F18</f>
        <v>0</v>
      </c>
      <c r="H50" s="688">
        <f>transport!G18</f>
        <v>5709.7558983685976</v>
      </c>
      <c r="I50" s="688">
        <f>transport!H18</f>
        <v>1650.8697440349713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7407.6488329207623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14.397245968889468</v>
      </c>
      <c r="D52" s="718">
        <f t="shared" ref="D52:Q52" ca="1" si="6">SUM(D48:D51)</f>
        <v>0</v>
      </c>
      <c r="E52" s="718">
        <f t="shared" si="6"/>
        <v>22.130704214022639</v>
      </c>
      <c r="F52" s="718">
        <f t="shared" si="6"/>
        <v>13.507809049258196</v>
      </c>
      <c r="G52" s="718">
        <f t="shared" si="6"/>
        <v>0</v>
      </c>
      <c r="H52" s="718">
        <f t="shared" si="6"/>
        <v>5989.4788488001823</v>
      </c>
      <c r="I52" s="718">
        <f t="shared" si="6"/>
        <v>1650.8697440349713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7690.3843520673236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12.931579289310829</v>
      </c>
      <c r="D54" s="688">
        <f ca="1">+landbouw!C12</f>
        <v>0</v>
      </c>
      <c r="E54" s="688">
        <f>+landbouw!D12</f>
        <v>22.051016812902173</v>
      </c>
      <c r="F54" s="688">
        <f>+landbouw!E12</f>
        <v>0.53335912819121478</v>
      </c>
      <c r="G54" s="688">
        <f>+landbouw!F12</f>
        <v>54.577005700578773</v>
      </c>
      <c r="H54" s="688">
        <f>+landbouw!G12</f>
        <v>0</v>
      </c>
      <c r="I54" s="688">
        <f>+landbouw!H12</f>
        <v>0</v>
      </c>
      <c r="J54" s="688">
        <f>+landbouw!I12</f>
        <v>0</v>
      </c>
      <c r="K54" s="688">
        <f>+landbouw!J12</f>
        <v>5.854726430331108</v>
      </c>
      <c r="L54" s="688">
        <f>+landbouw!K12</f>
        <v>0</v>
      </c>
      <c r="M54" s="688">
        <f>+landbouw!L12</f>
        <v>0</v>
      </c>
      <c r="N54" s="688">
        <f>+landbouw!M12</f>
        <v>0</v>
      </c>
      <c r="O54" s="688">
        <f>+landbouw!N12</f>
        <v>0</v>
      </c>
      <c r="P54" s="688">
        <f>+landbouw!O12</f>
        <v>0</v>
      </c>
      <c r="Q54" s="689">
        <f>+landbouw!P12</f>
        <v>0</v>
      </c>
      <c r="R54" s="717">
        <f ca="1">SUM(C54:Q54)</f>
        <v>95.947687361314109</v>
      </c>
    </row>
    <row r="55" spans="1:18" ht="15" thickBot="1">
      <c r="A55" s="819" t="s">
        <v>703</v>
      </c>
      <c r="B55" s="829"/>
      <c r="C55" s="688">
        <f ca="1">C25*'EF ele_warmte'!B12</f>
        <v>95.144297406112841</v>
      </c>
      <c r="D55" s="688"/>
      <c r="E55" s="688">
        <f>E25*EF_CO2_aardgas</f>
        <v>325.21009412890436</v>
      </c>
      <c r="F55" s="688"/>
      <c r="G55" s="688"/>
      <c r="H55" s="688"/>
      <c r="I55" s="688"/>
      <c r="J55" s="688"/>
      <c r="K55" s="688"/>
      <c r="L55" s="688"/>
      <c r="M55" s="688"/>
      <c r="N55" s="688"/>
      <c r="O55" s="688"/>
      <c r="P55" s="688"/>
      <c r="Q55" s="689"/>
      <c r="R55" s="717">
        <f ca="1">SUM(C55:Q55)</f>
        <v>420.35439153501721</v>
      </c>
    </row>
    <row r="56" spans="1:18" ht="15.75" thickBot="1">
      <c r="A56" s="817" t="s">
        <v>704</v>
      </c>
      <c r="B56" s="830"/>
      <c r="C56" s="718">
        <f ca="1">SUM(C54:C55)</f>
        <v>108.07587669542367</v>
      </c>
      <c r="D56" s="718">
        <f t="shared" ref="D56:Q56" ca="1" si="7">SUM(D54:D55)</f>
        <v>0</v>
      </c>
      <c r="E56" s="718">
        <f t="shared" si="7"/>
        <v>347.26111094180652</v>
      </c>
      <c r="F56" s="718">
        <f t="shared" si="7"/>
        <v>0.53335912819121478</v>
      </c>
      <c r="G56" s="718">
        <f t="shared" si="7"/>
        <v>54.577005700578773</v>
      </c>
      <c r="H56" s="718">
        <f t="shared" si="7"/>
        <v>0</v>
      </c>
      <c r="I56" s="718">
        <f t="shared" si="7"/>
        <v>0</v>
      </c>
      <c r="J56" s="718">
        <f t="shared" si="7"/>
        <v>0</v>
      </c>
      <c r="K56" s="718">
        <f t="shared" si="7"/>
        <v>5.854726430331108</v>
      </c>
      <c r="L56" s="718">
        <f t="shared" si="7"/>
        <v>0</v>
      </c>
      <c r="M56" s="718">
        <f t="shared" si="7"/>
        <v>0</v>
      </c>
      <c r="N56" s="718">
        <f t="shared" si="7"/>
        <v>0</v>
      </c>
      <c r="O56" s="718">
        <f t="shared" si="7"/>
        <v>0</v>
      </c>
      <c r="P56" s="718">
        <f t="shared" si="7"/>
        <v>0</v>
      </c>
      <c r="Q56" s="719">
        <f t="shared" si="7"/>
        <v>0</v>
      </c>
      <c r="R56" s="720">
        <f ca="1">SUM(R54:R55)</f>
        <v>516.3020788963313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8542.9757055797927</v>
      </c>
      <c r="D61" s="726">
        <f t="shared" ref="D61:Q61" ca="1" si="8">D46+D52+D56</f>
        <v>0</v>
      </c>
      <c r="E61" s="726">
        <f t="shared" ca="1" si="8"/>
        <v>12508.01855307916</v>
      </c>
      <c r="F61" s="726">
        <f t="shared" si="8"/>
        <v>363.40693582206723</v>
      </c>
      <c r="G61" s="726">
        <f t="shared" ca="1" si="8"/>
        <v>10457.694137835126</v>
      </c>
      <c r="H61" s="726">
        <f t="shared" si="8"/>
        <v>5989.4788488001823</v>
      </c>
      <c r="I61" s="726">
        <f t="shared" si="8"/>
        <v>1650.8697440349713</v>
      </c>
      <c r="J61" s="726">
        <f t="shared" si="8"/>
        <v>0</v>
      </c>
      <c r="K61" s="726">
        <f t="shared" si="8"/>
        <v>64.337379725871628</v>
      </c>
      <c r="L61" s="726">
        <f t="shared" si="8"/>
        <v>0</v>
      </c>
      <c r="M61" s="726">
        <f t="shared" ca="1" si="8"/>
        <v>0</v>
      </c>
      <c r="N61" s="726">
        <f t="shared" si="8"/>
        <v>0</v>
      </c>
      <c r="O61" s="726">
        <f t="shared" ca="1" si="8"/>
        <v>0</v>
      </c>
      <c r="P61" s="726">
        <f t="shared" si="8"/>
        <v>0</v>
      </c>
      <c r="Q61" s="726">
        <f t="shared" si="8"/>
        <v>0</v>
      </c>
      <c r="R61" s="726">
        <f ca="1">R46+R52+R56</f>
        <v>39576.781304877171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0.20525119658945148</v>
      </c>
      <c r="D63" s="772">
        <f t="shared" ca="1" si="9"/>
        <v>0</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2966.052007360679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2966.052007360679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22332.106202940529</v>
      </c>
      <c r="C4" s="449">
        <f>huishoudens!C8</f>
        <v>0</v>
      </c>
      <c r="D4" s="449">
        <f>huishoudens!D8</f>
        <v>45258.316918782664</v>
      </c>
      <c r="E4" s="449">
        <f>huishoudens!E8</f>
        <v>1452.6274049508729</v>
      </c>
      <c r="F4" s="449">
        <f>huishoudens!F8</f>
        <v>32994.8054404465</v>
      </c>
      <c r="G4" s="449">
        <f>huishoudens!G8</f>
        <v>0</v>
      </c>
      <c r="H4" s="449">
        <f>huishoudens!H8</f>
        <v>0</v>
      </c>
      <c r="I4" s="449">
        <f>huishoudens!I8</f>
        <v>0</v>
      </c>
      <c r="J4" s="449">
        <f>huishoudens!J8</f>
        <v>165.06744475572376</v>
      </c>
      <c r="K4" s="449">
        <f>huishoudens!K8</f>
        <v>0</v>
      </c>
      <c r="L4" s="449">
        <f>huishoudens!L8</f>
        <v>0</v>
      </c>
      <c r="M4" s="449">
        <f>huishoudens!M8</f>
        <v>0</v>
      </c>
      <c r="N4" s="449">
        <f>huishoudens!N8</f>
        <v>7449.2083887587169</v>
      </c>
      <c r="O4" s="449">
        <f>huishoudens!O8</f>
        <v>236.09102810705679</v>
      </c>
      <c r="P4" s="450">
        <f>huishoudens!P8</f>
        <v>242.28106407675551</v>
      </c>
      <c r="Q4" s="451">
        <f>SUM(B4:P4)</f>
        <v>110130.50389281884</v>
      </c>
    </row>
    <row r="5" spans="1:17">
      <c r="A5" s="448" t="s">
        <v>155</v>
      </c>
      <c r="B5" s="449">
        <f ca="1">tertiair!B16</f>
        <v>12873.805956764294</v>
      </c>
      <c r="C5" s="449">
        <f ca="1">tertiair!C16</f>
        <v>0</v>
      </c>
      <c r="D5" s="449">
        <f ca="1">tertiair!D16</f>
        <v>11701.886093288198</v>
      </c>
      <c r="E5" s="449">
        <f>tertiair!E16</f>
        <v>70.599221095321667</v>
      </c>
      <c r="F5" s="449">
        <f ca="1">tertiair!F16</f>
        <v>3302.0279173413132</v>
      </c>
      <c r="G5" s="449">
        <f>tertiair!G16</f>
        <v>0</v>
      </c>
      <c r="H5" s="449">
        <f>tertiair!H16</f>
        <v>0</v>
      </c>
      <c r="I5" s="449">
        <f>tertiair!I16</f>
        <v>0</v>
      </c>
      <c r="J5" s="449">
        <f>tertiair!J16</f>
        <v>4.0616609511921517E-2</v>
      </c>
      <c r="K5" s="449">
        <f>tertiair!K16</f>
        <v>0</v>
      </c>
      <c r="L5" s="449">
        <f ca="1">tertiair!L16</f>
        <v>0</v>
      </c>
      <c r="M5" s="449">
        <f>tertiair!M16</f>
        <v>0</v>
      </c>
      <c r="N5" s="449">
        <f ca="1">tertiair!N16</f>
        <v>1481.4418679146379</v>
      </c>
      <c r="O5" s="449">
        <f>tertiair!O16</f>
        <v>9.7945215316823084</v>
      </c>
      <c r="P5" s="450">
        <f>tertiair!P16</f>
        <v>0</v>
      </c>
      <c r="Q5" s="448">
        <f t="shared" ref="Q5:Q14" ca="1" si="0">SUM(B5:P5)</f>
        <v>29439.596194544964</v>
      </c>
    </row>
    <row r="6" spans="1:17">
      <c r="A6" s="448" t="s">
        <v>193</v>
      </c>
      <c r="B6" s="449">
        <f>'openbare verlichting'!B8</f>
        <v>556.39400000000001</v>
      </c>
      <c r="C6" s="449"/>
      <c r="D6" s="449"/>
      <c r="E6" s="449"/>
      <c r="F6" s="449"/>
      <c r="G6" s="449"/>
      <c r="H6" s="449"/>
      <c r="I6" s="449"/>
      <c r="J6" s="449"/>
      <c r="K6" s="449"/>
      <c r="L6" s="449"/>
      <c r="M6" s="449"/>
      <c r="N6" s="449"/>
      <c r="O6" s="449"/>
      <c r="P6" s="450"/>
      <c r="Q6" s="448">
        <f t="shared" si="0"/>
        <v>556.39400000000001</v>
      </c>
    </row>
    <row r="7" spans="1:17">
      <c r="A7" s="448" t="s">
        <v>111</v>
      </c>
      <c r="B7" s="449">
        <f>landbouw!B8</f>
        <v>63.003673080537006</v>
      </c>
      <c r="C7" s="449">
        <f>landbouw!C8</f>
        <v>0</v>
      </c>
      <c r="D7" s="449">
        <f>landbouw!D8</f>
        <v>109.16344956882263</v>
      </c>
      <c r="E7" s="449">
        <f>landbouw!E8</f>
        <v>2.3495996836617392</v>
      </c>
      <c r="F7" s="449">
        <f>landbouw!F8</f>
        <v>204.40826105085682</v>
      </c>
      <c r="G7" s="449">
        <f>landbouw!G8</f>
        <v>0</v>
      </c>
      <c r="H7" s="449">
        <f>landbouw!H8</f>
        <v>0</v>
      </c>
      <c r="I7" s="449">
        <f>landbouw!I8</f>
        <v>0</v>
      </c>
      <c r="J7" s="449">
        <f>landbouw!J8</f>
        <v>16.538775226924034</v>
      </c>
      <c r="K7" s="449">
        <f>landbouw!K8</f>
        <v>0</v>
      </c>
      <c r="L7" s="449">
        <f>landbouw!L8</f>
        <v>0</v>
      </c>
      <c r="M7" s="449">
        <f>landbouw!M8</f>
        <v>0</v>
      </c>
      <c r="N7" s="449">
        <f>landbouw!N8</f>
        <v>0</v>
      </c>
      <c r="O7" s="449">
        <f>landbouw!O8</f>
        <v>0</v>
      </c>
      <c r="P7" s="450">
        <f>landbouw!P8</f>
        <v>0</v>
      </c>
      <c r="Q7" s="448">
        <f t="shared" si="0"/>
        <v>395.46375861080224</v>
      </c>
    </row>
    <row r="8" spans="1:17">
      <c r="A8" s="448" t="s">
        <v>618</v>
      </c>
      <c r="B8" s="449">
        <f>industrie!B18</f>
        <v>5263.0458130701691</v>
      </c>
      <c r="C8" s="449">
        <f>industrie!C18</f>
        <v>0</v>
      </c>
      <c r="D8" s="449">
        <f>industrie!D18</f>
        <v>3132.0085618070043</v>
      </c>
      <c r="E8" s="449">
        <f>industrie!E18</f>
        <v>15.829619084280454</v>
      </c>
      <c r="F8" s="449">
        <f>industrie!F18</f>
        <v>2666.1521558247196</v>
      </c>
      <c r="G8" s="449">
        <f>industrie!G18</f>
        <v>0</v>
      </c>
      <c r="H8" s="449">
        <f>industrie!H18</f>
        <v>0</v>
      </c>
      <c r="I8" s="449">
        <f>industrie!I18</f>
        <v>0</v>
      </c>
      <c r="J8" s="449">
        <f>industrie!J18</f>
        <v>9.717393290139989E-2</v>
      </c>
      <c r="K8" s="449">
        <f>industrie!K18</f>
        <v>0</v>
      </c>
      <c r="L8" s="449">
        <f>industrie!L18</f>
        <v>0</v>
      </c>
      <c r="M8" s="449">
        <f>industrie!M18</f>
        <v>0</v>
      </c>
      <c r="N8" s="449">
        <f>industrie!N18</f>
        <v>223.80710859804748</v>
      </c>
      <c r="O8" s="449">
        <f>industrie!O18</f>
        <v>0</v>
      </c>
      <c r="P8" s="450">
        <f>industrie!P18</f>
        <v>0</v>
      </c>
      <c r="Q8" s="448">
        <f t="shared" si="0"/>
        <v>11300.940432317124</v>
      </c>
    </row>
    <row r="9" spans="1:17" s="454" customFormat="1">
      <c r="A9" s="452" t="s">
        <v>544</v>
      </c>
      <c r="B9" s="453">
        <f>transport!B14</f>
        <v>55.467044495163101</v>
      </c>
      <c r="C9" s="453">
        <f>transport!C14</f>
        <v>0</v>
      </c>
      <c r="D9" s="453">
        <f>transport!D14</f>
        <v>109.55794165357742</v>
      </c>
      <c r="E9" s="453">
        <f>transport!E14</f>
        <v>59.505766736820242</v>
      </c>
      <c r="F9" s="453">
        <f>transport!F14</f>
        <v>0</v>
      </c>
      <c r="G9" s="453">
        <f>transport!G14</f>
        <v>21384.853551942313</v>
      </c>
      <c r="H9" s="453">
        <f>transport!H14</f>
        <v>6629.9989720279973</v>
      </c>
      <c r="I9" s="453">
        <f>transport!I14</f>
        <v>0</v>
      </c>
      <c r="J9" s="453">
        <f>transport!J14</f>
        <v>0</v>
      </c>
      <c r="K9" s="453">
        <f>transport!K14</f>
        <v>0</v>
      </c>
      <c r="L9" s="453">
        <f>transport!L14</f>
        <v>0</v>
      </c>
      <c r="M9" s="453">
        <f>transport!M14</f>
        <v>1664.894119602684</v>
      </c>
      <c r="N9" s="453">
        <f>transport!N14</f>
        <v>0</v>
      </c>
      <c r="O9" s="453">
        <f>transport!O14</f>
        <v>0</v>
      </c>
      <c r="P9" s="453">
        <f>transport!P14</f>
        <v>0</v>
      </c>
      <c r="Q9" s="452">
        <f>SUM(B9:P9)</f>
        <v>29904.277396458554</v>
      </c>
    </row>
    <row r="10" spans="1:17">
      <c r="A10" s="448" t="s">
        <v>534</v>
      </c>
      <c r="B10" s="449">
        <f>transport!B54</f>
        <v>14.677472117264747</v>
      </c>
      <c r="C10" s="449">
        <f>transport!C54</f>
        <v>0</v>
      </c>
      <c r="D10" s="449">
        <f>transport!D54</f>
        <v>0</v>
      </c>
      <c r="E10" s="449">
        <f>transport!E54</f>
        <v>0</v>
      </c>
      <c r="F10" s="449">
        <f>transport!F54</f>
        <v>0</v>
      </c>
      <c r="G10" s="449">
        <f>transport!G54</f>
        <v>1047.6514997437616</v>
      </c>
      <c r="H10" s="449">
        <f>transport!H54</f>
        <v>0</v>
      </c>
      <c r="I10" s="449">
        <f>transport!I54</f>
        <v>0</v>
      </c>
      <c r="J10" s="449">
        <f>transport!J54</f>
        <v>0</v>
      </c>
      <c r="K10" s="449">
        <f>transport!K54</f>
        <v>0</v>
      </c>
      <c r="L10" s="449">
        <f>transport!L54</f>
        <v>0</v>
      </c>
      <c r="M10" s="449">
        <f>transport!M54</f>
        <v>57.849842658103348</v>
      </c>
      <c r="N10" s="449">
        <f>transport!N54</f>
        <v>0</v>
      </c>
      <c r="O10" s="449">
        <f>transport!O54</f>
        <v>0</v>
      </c>
      <c r="P10" s="450">
        <f>transport!P54</f>
        <v>0</v>
      </c>
      <c r="Q10" s="448">
        <f t="shared" si="0"/>
        <v>1120.1788145191297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463.55051267458799</v>
      </c>
      <c r="C14" s="456"/>
      <c r="D14" s="456">
        <f>'SEAP template'!E25</f>
        <v>1609.95096103418</v>
      </c>
      <c r="E14" s="456"/>
      <c r="F14" s="456"/>
      <c r="G14" s="456"/>
      <c r="H14" s="456"/>
      <c r="I14" s="456"/>
      <c r="J14" s="456"/>
      <c r="K14" s="456"/>
      <c r="L14" s="456"/>
      <c r="M14" s="456"/>
      <c r="N14" s="456"/>
      <c r="O14" s="456"/>
      <c r="P14" s="457"/>
      <c r="Q14" s="448">
        <f t="shared" si="0"/>
        <v>2073.5014737087681</v>
      </c>
    </row>
    <row r="15" spans="1:17" s="460" customFormat="1">
      <c r="A15" s="458" t="s">
        <v>538</v>
      </c>
      <c r="B15" s="459">
        <f ca="1">SUM(B4:B14)</f>
        <v>41622.050675142535</v>
      </c>
      <c r="C15" s="459">
        <f t="shared" ref="C15:Q15" ca="1" si="1">SUM(C4:C14)</f>
        <v>0</v>
      </c>
      <c r="D15" s="459">
        <f t="shared" ca="1" si="1"/>
        <v>61920.88392613444</v>
      </c>
      <c r="E15" s="459">
        <f t="shared" si="1"/>
        <v>1600.9116115509571</v>
      </c>
      <c r="F15" s="459">
        <f t="shared" ca="1" si="1"/>
        <v>39167.393774663389</v>
      </c>
      <c r="G15" s="459">
        <f t="shared" si="1"/>
        <v>22432.505051686076</v>
      </c>
      <c r="H15" s="459">
        <f t="shared" si="1"/>
        <v>6629.9989720279973</v>
      </c>
      <c r="I15" s="459">
        <f t="shared" si="1"/>
        <v>0</v>
      </c>
      <c r="J15" s="459">
        <f t="shared" si="1"/>
        <v>181.7440105250611</v>
      </c>
      <c r="K15" s="459">
        <f t="shared" si="1"/>
        <v>0</v>
      </c>
      <c r="L15" s="459">
        <f t="shared" ca="1" si="1"/>
        <v>0</v>
      </c>
      <c r="M15" s="459">
        <f t="shared" si="1"/>
        <v>1722.7439622607874</v>
      </c>
      <c r="N15" s="459">
        <f t="shared" ca="1" si="1"/>
        <v>9154.4573652714025</v>
      </c>
      <c r="O15" s="459">
        <f t="shared" si="1"/>
        <v>245.88554963873909</v>
      </c>
      <c r="P15" s="459">
        <f t="shared" si="1"/>
        <v>242.28106407675551</v>
      </c>
      <c r="Q15" s="459">
        <f t="shared" ca="1" si="1"/>
        <v>184920.85596297818</v>
      </c>
    </row>
    <row r="17" spans="1:17">
      <c r="A17" s="461" t="s">
        <v>539</v>
      </c>
      <c r="B17" s="777">
        <f ca="1">huishoudens!B10</f>
        <v>0.2052511965894514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4583.6915205162541</v>
      </c>
      <c r="C22" s="449">
        <f t="shared" ref="C22:C32" ca="1" si="3">C4*$C$17</f>
        <v>0</v>
      </c>
      <c r="D22" s="449">
        <f t="shared" ref="D22:D32" si="4">D4*$D$17</f>
        <v>9142.1800175940989</v>
      </c>
      <c r="E22" s="449">
        <f t="shared" ref="E22:E32" si="5">E4*$E$17</f>
        <v>329.74642092384818</v>
      </c>
      <c r="F22" s="449">
        <f t="shared" ref="F22:F32" si="6">F4*$F$17</f>
        <v>8809.6130525992157</v>
      </c>
      <c r="G22" s="449">
        <f t="shared" ref="G22:G32" si="7">G4*$G$17</f>
        <v>0</v>
      </c>
      <c r="H22" s="449">
        <f t="shared" ref="H22:H32" si="8">H4*$H$17</f>
        <v>0</v>
      </c>
      <c r="I22" s="449">
        <f t="shared" ref="I22:I32" si="9">I4*$I$17</f>
        <v>0</v>
      </c>
      <c r="J22" s="449">
        <f t="shared" ref="J22:J32" si="10">J4*$J$17</f>
        <v>58.433875443526205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22923.664887076946</v>
      </c>
    </row>
    <row r="23" spans="1:17">
      <c r="A23" s="448" t="s">
        <v>155</v>
      </c>
      <c r="B23" s="449">
        <f t="shared" ca="1" si="2"/>
        <v>2642.3640772862786</v>
      </c>
      <c r="C23" s="449">
        <f t="shared" ca="1" si="3"/>
        <v>0</v>
      </c>
      <c r="D23" s="449">
        <f t="shared" ca="1" si="4"/>
        <v>2363.7809908442164</v>
      </c>
      <c r="E23" s="449">
        <f t="shared" si="5"/>
        <v>16.026023188638018</v>
      </c>
      <c r="F23" s="449">
        <f t="shared" ca="1" si="6"/>
        <v>881.64145393013064</v>
      </c>
      <c r="G23" s="449">
        <f t="shared" si="7"/>
        <v>0</v>
      </c>
      <c r="H23" s="449">
        <f t="shared" si="8"/>
        <v>0</v>
      </c>
      <c r="I23" s="449">
        <f t="shared" si="9"/>
        <v>0</v>
      </c>
      <c r="J23" s="449">
        <f t="shared" si="10"/>
        <v>1.4378279767220217E-2</v>
      </c>
      <c r="K23" s="449">
        <f t="shared" si="11"/>
        <v>0</v>
      </c>
      <c r="L23" s="449">
        <f t="shared" ca="1" si="12"/>
        <v>0</v>
      </c>
      <c r="M23" s="449">
        <f t="shared" si="13"/>
        <v>0</v>
      </c>
      <c r="N23" s="449">
        <f t="shared" ca="1" si="14"/>
        <v>0</v>
      </c>
      <c r="O23" s="449">
        <f t="shared" si="15"/>
        <v>0</v>
      </c>
      <c r="P23" s="450">
        <f t="shared" si="16"/>
        <v>0</v>
      </c>
      <c r="Q23" s="448">
        <f t="shared" ref="Q23:Q31" ca="1" si="17">SUM(B23:P23)</f>
        <v>5903.82692352903</v>
      </c>
    </row>
    <row r="24" spans="1:17">
      <c r="A24" s="448" t="s">
        <v>193</v>
      </c>
      <c r="B24" s="449">
        <f t="shared" ca="1" si="2"/>
        <v>114.20053427519123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114.20053427519123</v>
      </c>
    </row>
    <row r="25" spans="1:17">
      <c r="A25" s="448" t="s">
        <v>111</v>
      </c>
      <c r="B25" s="449">
        <f t="shared" ca="1" si="2"/>
        <v>12.931579289310829</v>
      </c>
      <c r="C25" s="449">
        <f t="shared" ca="1" si="3"/>
        <v>0</v>
      </c>
      <c r="D25" s="449">
        <f t="shared" si="4"/>
        <v>22.051016812902173</v>
      </c>
      <c r="E25" s="449">
        <f t="shared" si="5"/>
        <v>0.53335912819121478</v>
      </c>
      <c r="F25" s="449">
        <f t="shared" si="6"/>
        <v>54.577005700578773</v>
      </c>
      <c r="G25" s="449">
        <f t="shared" si="7"/>
        <v>0</v>
      </c>
      <c r="H25" s="449">
        <f t="shared" si="8"/>
        <v>0</v>
      </c>
      <c r="I25" s="449">
        <f t="shared" si="9"/>
        <v>0</v>
      </c>
      <c r="J25" s="449">
        <f t="shared" si="10"/>
        <v>5.854726430331108</v>
      </c>
      <c r="K25" s="449">
        <f t="shared" si="11"/>
        <v>0</v>
      </c>
      <c r="L25" s="449">
        <f t="shared" si="12"/>
        <v>0</v>
      </c>
      <c r="M25" s="449">
        <f t="shared" si="13"/>
        <v>0</v>
      </c>
      <c r="N25" s="449">
        <f t="shared" si="14"/>
        <v>0</v>
      </c>
      <c r="O25" s="449">
        <f t="shared" si="15"/>
        <v>0</v>
      </c>
      <c r="P25" s="450">
        <f t="shared" si="16"/>
        <v>0</v>
      </c>
      <c r="Q25" s="448">
        <f t="shared" ca="1" si="17"/>
        <v>95.947687361314109</v>
      </c>
    </row>
    <row r="26" spans="1:17">
      <c r="A26" s="448" t="s">
        <v>618</v>
      </c>
      <c r="B26" s="449">
        <f t="shared" ca="1" si="2"/>
        <v>1080.2464508377543</v>
      </c>
      <c r="C26" s="449">
        <f t="shared" ca="1" si="3"/>
        <v>0</v>
      </c>
      <c r="D26" s="449">
        <f t="shared" si="4"/>
        <v>632.66572948501494</v>
      </c>
      <c r="E26" s="449">
        <f t="shared" si="5"/>
        <v>3.593323532131663</v>
      </c>
      <c r="F26" s="449">
        <f t="shared" si="6"/>
        <v>711.86262560520015</v>
      </c>
      <c r="G26" s="449">
        <f t="shared" si="7"/>
        <v>0</v>
      </c>
      <c r="H26" s="449">
        <f t="shared" si="8"/>
        <v>0</v>
      </c>
      <c r="I26" s="449">
        <f t="shared" si="9"/>
        <v>0</v>
      </c>
      <c r="J26" s="449">
        <f t="shared" si="10"/>
        <v>3.4399572247095563E-2</v>
      </c>
      <c r="K26" s="449">
        <f t="shared" si="11"/>
        <v>0</v>
      </c>
      <c r="L26" s="449">
        <f t="shared" si="12"/>
        <v>0</v>
      </c>
      <c r="M26" s="449">
        <f t="shared" si="13"/>
        <v>0</v>
      </c>
      <c r="N26" s="449">
        <f t="shared" si="14"/>
        <v>0</v>
      </c>
      <c r="O26" s="449">
        <f t="shared" si="15"/>
        <v>0</v>
      </c>
      <c r="P26" s="450">
        <f t="shared" si="16"/>
        <v>0</v>
      </c>
      <c r="Q26" s="448">
        <f t="shared" ca="1" si="17"/>
        <v>2428.402529032348</v>
      </c>
    </row>
    <row r="27" spans="1:17" s="454" customFormat="1">
      <c r="A27" s="452" t="s">
        <v>544</v>
      </c>
      <c r="B27" s="771">
        <f t="shared" ca="1" si="2"/>
        <v>11.384677253912569</v>
      </c>
      <c r="C27" s="453">
        <f t="shared" ca="1" si="3"/>
        <v>0</v>
      </c>
      <c r="D27" s="453">
        <f t="shared" si="4"/>
        <v>22.130704214022639</v>
      </c>
      <c r="E27" s="453">
        <f t="shared" si="5"/>
        <v>13.507809049258196</v>
      </c>
      <c r="F27" s="453">
        <f t="shared" si="6"/>
        <v>0</v>
      </c>
      <c r="G27" s="453">
        <f t="shared" si="7"/>
        <v>5709.7558983685976</v>
      </c>
      <c r="H27" s="453">
        <f t="shared" si="8"/>
        <v>1650.8697440349713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7407.6488329207623</v>
      </c>
    </row>
    <row r="28" spans="1:17" ht="16.5" customHeight="1">
      <c r="A28" s="448" t="s">
        <v>534</v>
      </c>
      <c r="B28" s="449">
        <f t="shared" ca="1" si="2"/>
        <v>3.012568714976898</v>
      </c>
      <c r="C28" s="449">
        <f t="shared" ca="1" si="3"/>
        <v>0</v>
      </c>
      <c r="D28" s="449">
        <f t="shared" si="4"/>
        <v>0</v>
      </c>
      <c r="E28" s="449">
        <f t="shared" si="5"/>
        <v>0</v>
      </c>
      <c r="F28" s="449">
        <f t="shared" si="6"/>
        <v>0</v>
      </c>
      <c r="G28" s="449">
        <f t="shared" si="7"/>
        <v>279.72295043158437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282.73551914656127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95.144297406112841</v>
      </c>
      <c r="C32" s="449">
        <f t="shared" ca="1" si="3"/>
        <v>0</v>
      </c>
      <c r="D32" s="449">
        <f t="shared" si="4"/>
        <v>325.21009412890436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420.35439153501721</v>
      </c>
    </row>
    <row r="33" spans="1:17" s="460" customFormat="1">
      <c r="A33" s="458" t="s">
        <v>538</v>
      </c>
      <c r="B33" s="459">
        <f ca="1">SUM(B22:B32)</f>
        <v>8542.9757055797927</v>
      </c>
      <c r="C33" s="459">
        <f t="shared" ref="C33:Q33" ca="1" si="19">SUM(C22:C32)</f>
        <v>0</v>
      </c>
      <c r="D33" s="459">
        <f t="shared" ca="1" si="19"/>
        <v>12508.01855307916</v>
      </c>
      <c r="E33" s="459">
        <f t="shared" si="19"/>
        <v>363.40693582206723</v>
      </c>
      <c r="F33" s="459">
        <f t="shared" ca="1" si="19"/>
        <v>10457.694137835126</v>
      </c>
      <c r="G33" s="459">
        <f t="shared" si="19"/>
        <v>5989.4788488001823</v>
      </c>
      <c r="H33" s="459">
        <f t="shared" si="19"/>
        <v>1650.8697440349713</v>
      </c>
      <c r="I33" s="459">
        <f t="shared" si="19"/>
        <v>0</v>
      </c>
      <c r="J33" s="459">
        <f t="shared" si="19"/>
        <v>64.337379725871628</v>
      </c>
      <c r="K33" s="459">
        <f t="shared" si="19"/>
        <v>0</v>
      </c>
      <c r="L33" s="459">
        <f t="shared" ca="1" si="19"/>
        <v>0</v>
      </c>
      <c r="M33" s="459">
        <f t="shared" si="19"/>
        <v>0</v>
      </c>
      <c r="N33" s="459">
        <f t="shared" ca="1" si="19"/>
        <v>0</v>
      </c>
      <c r="O33" s="459">
        <f t="shared" si="19"/>
        <v>0</v>
      </c>
      <c r="P33" s="459">
        <f t="shared" si="19"/>
        <v>0</v>
      </c>
      <c r="Q33" s="459">
        <f t="shared" ca="1" si="19"/>
        <v>39576.781304877171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2966.052007360679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2966.052007360679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0.2052511965894514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0.2052511965894514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0.2052511965894514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0.2052511965894514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5385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229.8</v>
      </c>
      <c r="C14" s="326"/>
      <c r="D14" s="326"/>
      <c r="E14" s="326"/>
      <c r="F14" s="326"/>
    </row>
    <row r="15" spans="1:6">
      <c r="A15" s="1307" t="s">
        <v>183</v>
      </c>
      <c r="B15" s="1308">
        <v>1</v>
      </c>
      <c r="C15" s="326"/>
      <c r="D15" s="326"/>
      <c r="E15" s="326"/>
      <c r="F15" s="326"/>
    </row>
    <row r="16" spans="1:6">
      <c r="A16" s="1307" t="s">
        <v>6</v>
      </c>
      <c r="B16" s="1308">
        <v>32</v>
      </c>
      <c r="C16" s="326"/>
      <c r="D16" s="326"/>
      <c r="E16" s="326"/>
      <c r="F16" s="326"/>
    </row>
    <row r="17" spans="1:6">
      <c r="A17" s="1307" t="s">
        <v>7</v>
      </c>
      <c r="B17" s="1308">
        <v>35</v>
      </c>
      <c r="C17" s="326"/>
      <c r="D17" s="326"/>
      <c r="E17" s="326"/>
      <c r="F17" s="326"/>
    </row>
    <row r="18" spans="1:6">
      <c r="A18" s="1307" t="s">
        <v>8</v>
      </c>
      <c r="B18" s="1308">
        <v>57</v>
      </c>
      <c r="C18" s="326"/>
      <c r="D18" s="326"/>
      <c r="E18" s="326"/>
      <c r="F18" s="326"/>
    </row>
    <row r="19" spans="1:6">
      <c r="A19" s="1307" t="s">
        <v>9</v>
      </c>
      <c r="B19" s="1308">
        <v>50</v>
      </c>
      <c r="C19" s="326"/>
      <c r="D19" s="326"/>
      <c r="E19" s="326"/>
      <c r="F19" s="326"/>
    </row>
    <row r="20" spans="1:6">
      <c r="A20" s="1307" t="s">
        <v>10</v>
      </c>
      <c r="B20" s="1308">
        <v>58</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20</v>
      </c>
      <c r="C26" s="326"/>
      <c r="D26" s="326"/>
      <c r="E26" s="326"/>
      <c r="F26" s="326"/>
    </row>
    <row r="27" spans="1:6">
      <c r="A27" s="1307" t="s">
        <v>17</v>
      </c>
      <c r="B27" s="1308">
        <v>0</v>
      </c>
      <c r="C27" s="326"/>
      <c r="D27" s="326"/>
      <c r="E27" s="326"/>
      <c r="F27" s="326"/>
    </row>
    <row r="28" spans="1:6" s="43" customFormat="1">
      <c r="A28" s="1309" t="s">
        <v>18</v>
      </c>
      <c r="B28" s="1310">
        <v>7</v>
      </c>
      <c r="C28" s="332"/>
      <c r="D28" s="332"/>
      <c r="E28" s="332"/>
      <c r="F28" s="332"/>
    </row>
    <row r="29" spans="1:6">
      <c r="A29" s="1309" t="s">
        <v>688</v>
      </c>
      <c r="B29" s="1310">
        <v>3</v>
      </c>
      <c r="C29" s="332"/>
      <c r="D29" s="332"/>
      <c r="E29" s="332"/>
      <c r="F29" s="332"/>
    </row>
    <row r="30" spans="1:6">
      <c r="A30" s="1302" t="s">
        <v>689</v>
      </c>
      <c r="B30" s="1311">
        <v>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5</v>
      </c>
      <c r="F38" s="1308">
        <v>31234</v>
      </c>
    </row>
    <row r="39" spans="1:6">
      <c r="A39" s="1307" t="s">
        <v>29</v>
      </c>
      <c r="B39" s="1307" t="s">
        <v>30</v>
      </c>
      <c r="C39" s="1308">
        <v>3182</v>
      </c>
      <c r="D39" s="1308">
        <v>50119952.2910107</v>
      </c>
      <c r="E39" s="1308">
        <v>5377</v>
      </c>
      <c r="F39" s="1308">
        <v>19795067.2681152</v>
      </c>
    </row>
    <row r="40" spans="1:6">
      <c r="A40" s="1307" t="s">
        <v>29</v>
      </c>
      <c r="B40" s="1307" t="s">
        <v>28</v>
      </c>
      <c r="C40" s="1308">
        <v>0</v>
      </c>
      <c r="D40" s="1308">
        <v>0</v>
      </c>
      <c r="E40" s="1308">
        <v>0</v>
      </c>
      <c r="F40" s="1308">
        <v>0</v>
      </c>
    </row>
    <row r="41" spans="1:6">
      <c r="A41" s="1307" t="s">
        <v>31</v>
      </c>
      <c r="B41" s="1307" t="s">
        <v>32</v>
      </c>
      <c r="C41" s="1308">
        <v>39</v>
      </c>
      <c r="D41" s="1308">
        <v>3264931.4620670401</v>
      </c>
      <c r="E41" s="1308">
        <v>86</v>
      </c>
      <c r="F41" s="1308">
        <v>4317334.4357238496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9</v>
      </c>
      <c r="F44" s="1308">
        <v>103220.005297328</v>
      </c>
    </row>
    <row r="45" spans="1:6">
      <c r="A45" s="1307" t="s">
        <v>31</v>
      </c>
      <c r="B45" s="1307" t="s">
        <v>36</v>
      </c>
      <c r="C45" s="1308">
        <v>3</v>
      </c>
      <c r="D45" s="1308">
        <v>84630.882140790403</v>
      </c>
      <c r="E45" s="1308">
        <v>4</v>
      </c>
      <c r="F45" s="1308">
        <v>106727.05680753299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48597.637171900598</v>
      </c>
      <c r="E48" s="1308">
        <v>1</v>
      </c>
      <c r="F48" s="1308">
        <v>2772.6812327516</v>
      </c>
    </row>
    <row r="49" spans="1:6">
      <c r="A49" s="1307" t="s">
        <v>31</v>
      </c>
      <c r="B49" s="1307" t="s">
        <v>39</v>
      </c>
      <c r="C49" s="1308">
        <v>0</v>
      </c>
      <c r="D49" s="1308">
        <v>0</v>
      </c>
      <c r="E49" s="1308">
        <v>0</v>
      </c>
      <c r="F49" s="1308">
        <v>0</v>
      </c>
    </row>
    <row r="50" spans="1:6">
      <c r="A50" s="1307" t="s">
        <v>31</v>
      </c>
      <c r="B50" s="1307" t="s">
        <v>40</v>
      </c>
      <c r="C50" s="1308">
        <v>7</v>
      </c>
      <c r="D50" s="1308">
        <v>70288.038340096202</v>
      </c>
      <c r="E50" s="1308">
        <v>13</v>
      </c>
      <c r="F50" s="1308">
        <v>732991.63400870701</v>
      </c>
    </row>
    <row r="51" spans="1:6">
      <c r="A51" s="1307" t="s">
        <v>41</v>
      </c>
      <c r="B51" s="1307" t="s">
        <v>42</v>
      </c>
      <c r="C51" s="1308">
        <v>0</v>
      </c>
      <c r="D51" s="1308">
        <v>0</v>
      </c>
      <c r="E51" s="1308">
        <v>10</v>
      </c>
      <c r="F51" s="1308">
        <v>63003.673080537003</v>
      </c>
    </row>
    <row r="52" spans="1:6">
      <c r="A52" s="1307" t="s">
        <v>41</v>
      </c>
      <c r="B52" s="1307" t="s">
        <v>28</v>
      </c>
      <c r="C52" s="1308">
        <v>2</v>
      </c>
      <c r="D52" s="1308">
        <v>120889.75589016901</v>
      </c>
      <c r="E52" s="1308">
        <v>0</v>
      </c>
      <c r="F52" s="1308">
        <v>0</v>
      </c>
    </row>
    <row r="53" spans="1:6">
      <c r="A53" s="1307" t="s">
        <v>43</v>
      </c>
      <c r="B53" s="1307" t="s">
        <v>44</v>
      </c>
      <c r="C53" s="1308">
        <v>69</v>
      </c>
      <c r="D53" s="1308">
        <v>1609950.9610341799</v>
      </c>
      <c r="E53" s="1308">
        <v>160</v>
      </c>
      <c r="F53" s="1308">
        <v>463550.51267458801</v>
      </c>
    </row>
    <row r="54" spans="1:6">
      <c r="A54" s="1307" t="s">
        <v>45</v>
      </c>
      <c r="B54" s="1307" t="s">
        <v>46</v>
      </c>
      <c r="C54" s="1308">
        <v>0</v>
      </c>
      <c r="D54" s="1308">
        <v>0</v>
      </c>
      <c r="E54" s="1308">
        <v>1</v>
      </c>
      <c r="F54" s="1308">
        <v>556394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28</v>
      </c>
      <c r="D57" s="1308">
        <v>1881855.60161038</v>
      </c>
      <c r="E57" s="1308">
        <v>59</v>
      </c>
      <c r="F57" s="1308">
        <v>4112732.8233412099</v>
      </c>
    </row>
    <row r="58" spans="1:6">
      <c r="A58" s="1307" t="s">
        <v>48</v>
      </c>
      <c r="B58" s="1307" t="s">
        <v>50</v>
      </c>
      <c r="C58" s="1308">
        <v>30</v>
      </c>
      <c r="D58" s="1308">
        <v>1416132.3341152901</v>
      </c>
      <c r="E58" s="1308">
        <v>42</v>
      </c>
      <c r="F58" s="1308">
        <v>1324713.1551948199</v>
      </c>
    </row>
    <row r="59" spans="1:6">
      <c r="A59" s="1307" t="s">
        <v>48</v>
      </c>
      <c r="B59" s="1307" t="s">
        <v>51</v>
      </c>
      <c r="C59" s="1308">
        <v>80</v>
      </c>
      <c r="D59" s="1308">
        <v>2456512.60104687</v>
      </c>
      <c r="E59" s="1308">
        <v>147</v>
      </c>
      <c r="F59" s="1308">
        <v>3103257.3650886002</v>
      </c>
    </row>
    <row r="60" spans="1:6">
      <c r="A60" s="1307" t="s">
        <v>48</v>
      </c>
      <c r="B60" s="1307" t="s">
        <v>52</v>
      </c>
      <c r="C60" s="1308">
        <v>38</v>
      </c>
      <c r="D60" s="1308">
        <v>1580664.8087838099</v>
      </c>
      <c r="E60" s="1308">
        <v>56</v>
      </c>
      <c r="F60" s="1308">
        <v>760815.04401564295</v>
      </c>
    </row>
    <row r="61" spans="1:6">
      <c r="A61" s="1307" t="s">
        <v>48</v>
      </c>
      <c r="B61" s="1307" t="s">
        <v>53</v>
      </c>
      <c r="C61" s="1308">
        <v>80</v>
      </c>
      <c r="D61" s="1308">
        <v>4904310.3833884904</v>
      </c>
      <c r="E61" s="1308">
        <v>191</v>
      </c>
      <c r="F61" s="1308">
        <v>3295633.9386414601</v>
      </c>
    </row>
    <row r="62" spans="1:6">
      <c r="A62" s="1307" t="s">
        <v>48</v>
      </c>
      <c r="B62" s="1307" t="s">
        <v>54</v>
      </c>
      <c r="C62" s="1308">
        <v>6</v>
      </c>
      <c r="D62" s="1308">
        <v>719423.59917055001</v>
      </c>
      <c r="E62" s="1308">
        <v>8</v>
      </c>
      <c r="F62" s="1308">
        <v>276653.63048256002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10</v>
      </c>
      <c r="F66" s="1308">
        <v>173690.53496419801</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65477.194138881401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20436388</v>
      </c>
      <c r="E73" s="447"/>
      <c r="F73" s="326"/>
    </row>
    <row r="74" spans="1:6">
      <c r="A74" s="1307" t="s">
        <v>63</v>
      </c>
      <c r="B74" s="1307" t="s">
        <v>639</v>
      </c>
      <c r="C74" s="1321" t="s">
        <v>641</v>
      </c>
      <c r="D74" s="1322">
        <v>1134887.6754567705</v>
      </c>
      <c r="E74" s="447"/>
      <c r="F74" s="326"/>
    </row>
    <row r="75" spans="1:6">
      <c r="A75" s="1307" t="s">
        <v>64</v>
      </c>
      <c r="B75" s="1307" t="s">
        <v>638</v>
      </c>
      <c r="C75" s="1321" t="s">
        <v>642</v>
      </c>
      <c r="D75" s="1322">
        <v>14721591</v>
      </c>
      <c r="E75" s="447"/>
      <c r="F75" s="326"/>
    </row>
    <row r="76" spans="1:6">
      <c r="A76" s="1307" t="s">
        <v>64</v>
      </c>
      <c r="B76" s="1307" t="s">
        <v>639</v>
      </c>
      <c r="C76" s="1321" t="s">
        <v>643</v>
      </c>
      <c r="D76" s="1322">
        <v>365347.67545677046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310236.64908645902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2537.0389348253298</v>
      </c>
      <c r="C91" s="326"/>
      <c r="D91" s="326"/>
      <c r="E91" s="326"/>
      <c r="F91" s="326"/>
    </row>
    <row r="92" spans="1:6">
      <c r="A92" s="1302" t="s">
        <v>68</v>
      </c>
      <c r="B92" s="1303">
        <v>429.01307253534918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1228</v>
      </c>
      <c r="C97" s="326"/>
      <c r="D97" s="326"/>
      <c r="E97" s="326"/>
      <c r="F97" s="326"/>
    </row>
    <row r="98" spans="1:6">
      <c r="A98" s="1307" t="s">
        <v>71</v>
      </c>
      <c r="B98" s="1308">
        <v>3</v>
      </c>
      <c r="C98" s="326"/>
      <c r="D98" s="326"/>
      <c r="E98" s="326"/>
      <c r="F98" s="326"/>
    </row>
    <row r="99" spans="1:6">
      <c r="A99" s="1307" t="s">
        <v>72</v>
      </c>
      <c r="B99" s="1308">
        <v>90</v>
      </c>
      <c r="C99" s="326"/>
      <c r="D99" s="326"/>
      <c r="E99" s="326"/>
      <c r="F99" s="326"/>
    </row>
    <row r="100" spans="1:6">
      <c r="A100" s="1307" t="s">
        <v>73</v>
      </c>
      <c r="B100" s="1308">
        <v>508</v>
      </c>
      <c r="C100" s="326"/>
      <c r="D100" s="326"/>
      <c r="E100" s="326"/>
      <c r="F100" s="326"/>
    </row>
    <row r="101" spans="1:6">
      <c r="A101" s="1307" t="s">
        <v>74</v>
      </c>
      <c r="B101" s="1308">
        <v>26</v>
      </c>
      <c r="C101" s="326"/>
      <c r="D101" s="326"/>
      <c r="E101" s="326"/>
      <c r="F101" s="326"/>
    </row>
    <row r="102" spans="1:6">
      <c r="A102" s="1307" t="s">
        <v>75</v>
      </c>
      <c r="B102" s="1308">
        <v>50</v>
      </c>
      <c r="C102" s="326"/>
      <c r="D102" s="326"/>
      <c r="E102" s="326"/>
      <c r="F102" s="326"/>
    </row>
    <row r="103" spans="1:6">
      <c r="A103" s="1307" t="s">
        <v>76</v>
      </c>
      <c r="B103" s="1308">
        <v>209</v>
      </c>
      <c r="C103" s="326"/>
      <c r="D103" s="326"/>
      <c r="E103" s="326"/>
      <c r="F103" s="326"/>
    </row>
    <row r="104" spans="1:6">
      <c r="A104" s="1307" t="s">
        <v>77</v>
      </c>
      <c r="B104" s="1308">
        <v>2569</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10</v>
      </c>
      <c r="C123" s="1308">
        <v>55</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63</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41622.050675142535</v>
      </c>
      <c r="C3" s="43" t="s">
        <v>169</v>
      </c>
      <c r="D3" s="43"/>
      <c r="E3" s="154"/>
      <c r="F3" s="43"/>
      <c r="G3" s="43"/>
      <c r="H3" s="43"/>
      <c r="I3" s="43"/>
      <c r="J3" s="43"/>
      <c r="K3" s="96"/>
    </row>
    <row r="4" spans="1:11">
      <c r="A4" s="354" t="s">
        <v>170</v>
      </c>
      <c r="B4" s="49">
        <f>IF(ISERROR('SEAP template'!B78+'SEAP template'!C78),0,'SEAP template'!B78+'SEAP template'!C78)</f>
        <v>2966.052007360679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0.2052511965894514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556.39400000000001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556.39400000000001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0.2052511965894514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114.20053427519123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19795.067268115199</v>
      </c>
      <c r="C5" s="17">
        <f>IF(ISERROR('Eigen informatie GS &amp; warmtenet'!B59),0,'Eigen informatie GS &amp; warmtenet'!B59)</f>
        <v>0</v>
      </c>
      <c r="D5" s="30">
        <f>(SUM(HH_hh_gas_kWh,HH_rest_gas_kWh)/1000)*0.903</f>
        <v>45258.316918782664</v>
      </c>
      <c r="E5" s="17">
        <f>B32*B41</f>
        <v>1452.6274049508729</v>
      </c>
      <c r="F5" s="17">
        <f>B36*B45</f>
        <v>32994.8054404465</v>
      </c>
      <c r="G5" s="18"/>
      <c r="H5" s="17"/>
      <c r="I5" s="17"/>
      <c r="J5" s="17">
        <f>B35*B44+C35*C44</f>
        <v>165.06744475572376</v>
      </c>
      <c r="K5" s="17"/>
      <c r="L5" s="17"/>
      <c r="M5" s="17"/>
      <c r="N5" s="17">
        <f>B34*B43+C34*C43</f>
        <v>7449.2083887587169</v>
      </c>
      <c r="O5" s="17">
        <f>B52*B53*B54</f>
        <v>236.09102810705679</v>
      </c>
      <c r="P5" s="17">
        <f>B60*B61*B62/1000-B60*B61*B62/1000/B63</f>
        <v>242.28106407675551</v>
      </c>
    </row>
    <row r="6" spans="1:16">
      <c r="A6" s="16" t="s">
        <v>604</v>
      </c>
      <c r="B6" s="779">
        <f>kWh_PV_kleiner_dan_10kW</f>
        <v>2537.0389348253298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22332.106202940529</v>
      </c>
      <c r="C8" s="21">
        <f>C5</f>
        <v>0</v>
      </c>
      <c r="D8" s="21">
        <f>D5</f>
        <v>45258.316918782664</v>
      </c>
      <c r="E8" s="21">
        <f>E5</f>
        <v>1452.6274049508729</v>
      </c>
      <c r="F8" s="21">
        <f>F5</f>
        <v>32994.8054404465</v>
      </c>
      <c r="G8" s="21"/>
      <c r="H8" s="21"/>
      <c r="I8" s="21"/>
      <c r="J8" s="21">
        <f>J5</f>
        <v>165.06744475572376</v>
      </c>
      <c r="K8" s="21"/>
      <c r="L8" s="21">
        <f>L5</f>
        <v>0</v>
      </c>
      <c r="M8" s="21">
        <f>M5</f>
        <v>0</v>
      </c>
      <c r="N8" s="21">
        <f>N5</f>
        <v>7449.2083887587169</v>
      </c>
      <c r="O8" s="21">
        <f>O5</f>
        <v>236.09102810705679</v>
      </c>
      <c r="P8" s="21">
        <f>P5</f>
        <v>242.28106407675551</v>
      </c>
    </row>
    <row r="9" spans="1:16">
      <c r="B9" s="19"/>
      <c r="C9" s="19"/>
      <c r="D9" s="254"/>
      <c r="E9" s="19"/>
      <c r="F9" s="19"/>
      <c r="G9" s="19"/>
      <c r="H9" s="19"/>
      <c r="I9" s="19"/>
      <c r="J9" s="19"/>
      <c r="K9" s="19"/>
      <c r="L9" s="19"/>
      <c r="M9" s="19"/>
      <c r="N9" s="19"/>
      <c r="O9" s="19"/>
      <c r="P9" s="19"/>
    </row>
    <row r="10" spans="1:16">
      <c r="A10" s="24" t="s">
        <v>213</v>
      </c>
      <c r="B10" s="25">
        <f ca="1">'EF ele_warmte'!B12</f>
        <v>0.2052511965894514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4583.6915205162541</v>
      </c>
      <c r="C12" s="23">
        <f ca="1">C10*C8</f>
        <v>0</v>
      </c>
      <c r="D12" s="23">
        <f>D8*D10</f>
        <v>9142.1800175940989</v>
      </c>
      <c r="E12" s="23">
        <f>E10*E8</f>
        <v>329.74642092384818</v>
      </c>
      <c r="F12" s="23">
        <f>F10*F8</f>
        <v>8809.6130525992157</v>
      </c>
      <c r="G12" s="23"/>
      <c r="H12" s="23"/>
      <c r="I12" s="23"/>
      <c r="J12" s="23">
        <f>J10*J8</f>
        <v>58.433875443526205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5385</v>
      </c>
      <c r="C26" s="36"/>
      <c r="D26" s="225"/>
    </row>
    <row r="27" spans="1:5" s="15" customFormat="1">
      <c r="A27" s="227" t="s">
        <v>817</v>
      </c>
      <c r="B27" s="37">
        <f>SUM(HH_hh_gas_aantal,HH_rest_gas_aantal)</f>
        <v>3182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3022.9</v>
      </c>
      <c r="C31" s="34" t="s">
        <v>110</v>
      </c>
      <c r="D31" s="171"/>
    </row>
    <row r="32" spans="1:5">
      <c r="A32" s="168" t="s">
        <v>72</v>
      </c>
      <c r="B32" s="33">
        <f>IF((B21*($B$26-($B$27-0.05*$B$27)-$B$60))&lt;0,0,B21*($B$26-($B$27-0.05*$B$27)-$B$60))</f>
        <v>36.00192787540481</v>
      </c>
      <c r="C32" s="34" t="s">
        <v>110</v>
      </c>
      <c r="D32" s="171"/>
    </row>
    <row r="33" spans="1:6">
      <c r="A33" s="168" t="s">
        <v>73</v>
      </c>
      <c r="B33" s="33">
        <f>IF((B22*($B$26-($B$27-0.05*$B$27)-$B$60))&lt;0,0,B22*($B$26-($B$27-0.05*$B$27)-$B$60))</f>
        <v>584.60000609580754</v>
      </c>
      <c r="C33" s="34" t="s">
        <v>110</v>
      </c>
      <c r="D33" s="171"/>
    </row>
    <row r="34" spans="1:6">
      <c r="A34" s="168" t="s">
        <v>74</v>
      </c>
      <c r="B34" s="33">
        <f>IF((B24*($B$26-($B$27-0.05*$B$27)-$B$60))&lt;0,0,B24*($B$26-($B$27-0.05*$B$27)-$B$60))</f>
        <v>111.97905940381197</v>
      </c>
      <c r="C34" s="33">
        <f>B26*C24</f>
        <v>1102.7074522093253</v>
      </c>
      <c r="D34" s="230"/>
    </row>
    <row r="35" spans="1:6">
      <c r="A35" s="168" t="s">
        <v>76</v>
      </c>
      <c r="B35" s="33">
        <f>IF((B19*($B$26-($B$27-0.05*$B$27)-$B$60))&lt;0,0,B19*($B$26-($B$27-0.05*$B$27)-$B$60))</f>
        <v>15.649952216493105</v>
      </c>
      <c r="C35" s="33">
        <f>B35/2</f>
        <v>7.8249761082465525</v>
      </c>
      <c r="D35" s="230"/>
    </row>
    <row r="36" spans="1:6">
      <c r="A36" s="168" t="s">
        <v>77</v>
      </c>
      <c r="B36" s="33">
        <f>IF((B18*($B$26-($B$27-0.05*$B$27)-$B$60))&lt;0,0,B18*($B$26-($B$27-0.05*$B$27)-$B$60))</f>
        <v>1590.8690544084818</v>
      </c>
      <c r="C36" s="34" t="s">
        <v>110</v>
      </c>
      <c r="D36" s="171"/>
    </row>
    <row r="37" spans="1:6">
      <c r="A37" s="168" t="s">
        <v>78</v>
      </c>
      <c r="B37" s="33">
        <f>B60</f>
        <v>23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12873.805956764294</v>
      </c>
      <c r="C5" s="17">
        <f>IF(ISERROR('Eigen informatie GS &amp; warmtenet'!B60),0,'Eigen informatie GS &amp; warmtenet'!B60)</f>
        <v>0</v>
      </c>
      <c r="D5" s="30">
        <f>SUM(D6:D12)</f>
        <v>11701.886093288198</v>
      </c>
      <c r="E5" s="17">
        <f>SUM(E6:E12)</f>
        <v>70.599221095321667</v>
      </c>
      <c r="F5" s="17">
        <f>SUM(F6:F12)</f>
        <v>3302.0279173413132</v>
      </c>
      <c r="G5" s="18"/>
      <c r="H5" s="17"/>
      <c r="I5" s="17"/>
      <c r="J5" s="17">
        <f>SUM(J6:J12)</f>
        <v>4.0616609511921517E-2</v>
      </c>
      <c r="K5" s="17"/>
      <c r="L5" s="17"/>
      <c r="M5" s="17"/>
      <c r="N5" s="17">
        <f>SUM(N6:N12)</f>
        <v>1481.4418679146379</v>
      </c>
      <c r="O5" s="17">
        <f>B38*B39*B40</f>
        <v>9.7945215316823084</v>
      </c>
      <c r="P5" s="17">
        <f>B46*B47*B48/1000-B46*B47*B48/1000/B49</f>
        <v>0</v>
      </c>
      <c r="R5" s="32"/>
    </row>
    <row r="6" spans="1:18">
      <c r="A6" s="32" t="s">
        <v>53</v>
      </c>
      <c r="B6" s="37">
        <f>B26</f>
        <v>3295.6339386414602</v>
      </c>
      <c r="C6" s="33"/>
      <c r="D6" s="37">
        <f>IF(ISERROR(TER_kantoor_gas_kWh/1000),0,TER_kantoor_gas_kWh/1000)*0.903</f>
        <v>4428.5922761998072</v>
      </c>
      <c r="E6" s="33">
        <f>$C$26*'E Balans VL '!I12/100/3.6*1000000</f>
        <v>0.78955555573528902</v>
      </c>
      <c r="F6" s="33">
        <f>$C$26*('E Balans VL '!L12+'E Balans VL '!N12)/100/3.6*1000000</f>
        <v>312.52109557590256</v>
      </c>
      <c r="G6" s="34"/>
      <c r="H6" s="33"/>
      <c r="I6" s="33"/>
      <c r="J6" s="33">
        <f>$C$26*('E Balans VL '!D12+'E Balans VL '!E12)/100/3.6*1000000</f>
        <v>0</v>
      </c>
      <c r="K6" s="33"/>
      <c r="L6" s="33"/>
      <c r="M6" s="33"/>
      <c r="N6" s="33">
        <f>$C$26*'E Balans VL '!Y12/100/3.6*1000000</f>
        <v>1.6740115784624676</v>
      </c>
      <c r="O6" s="33"/>
      <c r="P6" s="33"/>
      <c r="R6" s="32"/>
    </row>
    <row r="7" spans="1:18">
      <c r="A7" s="32" t="s">
        <v>52</v>
      </c>
      <c r="B7" s="37">
        <f t="shared" ref="B7:B12" si="0">B27</f>
        <v>760.81504401564291</v>
      </c>
      <c r="C7" s="33"/>
      <c r="D7" s="37">
        <f>IF(ISERROR(TER_horeca_gas_kWh/1000),0,TER_horeca_gas_kWh/1000)*0.903</f>
        <v>1427.3403223317803</v>
      </c>
      <c r="E7" s="33">
        <f>$C$27*'E Balans VL '!I9/100/3.6*1000000</f>
        <v>0</v>
      </c>
      <c r="F7" s="33">
        <f>$C$27*('E Balans VL '!L9+'E Balans VL '!N9)/100/3.6*1000000</f>
        <v>62.385045169500728</v>
      </c>
      <c r="G7" s="34"/>
      <c r="H7" s="33"/>
      <c r="I7" s="33"/>
      <c r="J7" s="33">
        <f>$C$27*('E Balans VL '!D9+'E Balans VL '!E9)/100/3.6*1000000</f>
        <v>0</v>
      </c>
      <c r="K7" s="33"/>
      <c r="L7" s="33"/>
      <c r="M7" s="33"/>
      <c r="N7" s="33">
        <f>$C$27*'E Balans VL '!Y9/100/3.6*1000000</f>
        <v>0.23322037829765002</v>
      </c>
      <c r="O7" s="33"/>
      <c r="P7" s="33"/>
      <c r="R7" s="32"/>
    </row>
    <row r="8" spans="1:18">
      <c r="A8" s="6" t="s">
        <v>51</v>
      </c>
      <c r="B8" s="37">
        <f t="shared" si="0"/>
        <v>3103.2573650886002</v>
      </c>
      <c r="C8" s="33"/>
      <c r="D8" s="37">
        <f>IF(ISERROR(TER_handel_gas_kWh/1000),0,TER_handel_gas_kWh/1000)*0.903</f>
        <v>2218.2308787453235</v>
      </c>
      <c r="E8" s="33">
        <f>$C$28*'E Balans VL '!I13/100/3.6*1000000</f>
        <v>10.906253543346169</v>
      </c>
      <c r="F8" s="33">
        <f>$C$28*('E Balans VL '!L13+'E Balans VL '!N13)/100/3.6*1000000</f>
        <v>283.94247597548059</v>
      </c>
      <c r="G8" s="34"/>
      <c r="H8" s="33"/>
      <c r="I8" s="33"/>
      <c r="J8" s="33">
        <f>$C$28*('E Balans VL '!D13+'E Balans VL '!E13)/100/3.6*1000000</f>
        <v>0</v>
      </c>
      <c r="K8" s="33"/>
      <c r="L8" s="33"/>
      <c r="M8" s="33"/>
      <c r="N8" s="33">
        <f>$C$28*'E Balans VL '!Y13/100/3.6*1000000</f>
        <v>1.1238662174055842</v>
      </c>
      <c r="O8" s="33"/>
      <c r="P8" s="33"/>
      <c r="R8" s="32"/>
    </row>
    <row r="9" spans="1:18">
      <c r="A9" s="32" t="s">
        <v>50</v>
      </c>
      <c r="B9" s="37">
        <f t="shared" si="0"/>
        <v>1324.7131551948198</v>
      </c>
      <c r="C9" s="33"/>
      <c r="D9" s="37">
        <f>IF(ISERROR(TER_gezond_gas_kWh/1000),0,TER_gezond_gas_kWh/1000)*0.903</f>
        <v>1278.7674977061072</v>
      </c>
      <c r="E9" s="33">
        <f>$C$29*'E Balans VL '!I10/100/3.6*1000000</f>
        <v>0</v>
      </c>
      <c r="F9" s="33">
        <f>$C$29*('E Balans VL '!L10+'E Balans VL '!N10)/100/3.6*1000000</f>
        <v>162.38550718773058</v>
      </c>
      <c r="G9" s="34"/>
      <c r="H9" s="33"/>
      <c r="I9" s="33"/>
      <c r="J9" s="33">
        <f>$C$29*('E Balans VL '!D10+'E Balans VL '!E10)/100/3.6*1000000</f>
        <v>0</v>
      </c>
      <c r="K9" s="33"/>
      <c r="L9" s="33"/>
      <c r="M9" s="33"/>
      <c r="N9" s="33">
        <f>$C$29*'E Balans VL '!Y10/100/3.6*1000000</f>
        <v>9.7688363867941774</v>
      </c>
      <c r="O9" s="33"/>
      <c r="P9" s="33"/>
      <c r="R9" s="32"/>
    </row>
    <row r="10" spans="1:18">
      <c r="A10" s="32" t="s">
        <v>49</v>
      </c>
      <c r="B10" s="37">
        <f t="shared" si="0"/>
        <v>4112.73282334121</v>
      </c>
      <c r="C10" s="33"/>
      <c r="D10" s="37">
        <f>IF(ISERROR(TER_ander_gas_kWh/1000),0,TER_ander_gas_kWh/1000)*0.903</f>
        <v>1699.3156082541732</v>
      </c>
      <c r="E10" s="33">
        <f>$C$30*'E Balans VL '!I14/100/3.6*1000000</f>
        <v>58.903411996240202</v>
      </c>
      <c r="F10" s="33">
        <f>$C$30*('E Balans VL '!L14+'E Balans VL '!N14)/100/3.6*1000000</f>
        <v>2448.4496895236562</v>
      </c>
      <c r="G10" s="34"/>
      <c r="H10" s="33"/>
      <c r="I10" s="33"/>
      <c r="J10" s="33">
        <f>$C$30*('E Balans VL '!D14+'E Balans VL '!E14)/100/3.6*1000000</f>
        <v>4.0616609511921517E-2</v>
      </c>
      <c r="K10" s="33"/>
      <c r="L10" s="33"/>
      <c r="M10" s="33"/>
      <c r="N10" s="33">
        <f>$C$30*'E Balans VL '!Y14/100/3.6*1000000</f>
        <v>1467.8629084987124</v>
      </c>
      <c r="O10" s="33"/>
      <c r="P10" s="33"/>
      <c r="R10" s="32"/>
    </row>
    <row r="11" spans="1:18">
      <c r="A11" s="32" t="s">
        <v>54</v>
      </c>
      <c r="B11" s="37">
        <f t="shared" si="0"/>
        <v>276.65363048256</v>
      </c>
      <c r="C11" s="33"/>
      <c r="D11" s="37">
        <f>IF(ISERROR(TER_onderwijs_gas_kWh/1000),0,TER_onderwijs_gas_kWh/1000)*0.903</f>
        <v>649.63951005100671</v>
      </c>
      <c r="E11" s="33">
        <f>$C$31*'E Balans VL '!I11/100/3.6*1000000</f>
        <v>0</v>
      </c>
      <c r="F11" s="33">
        <f>$C$31*('E Balans VL '!L11+'E Balans VL '!N11)/100/3.6*1000000</f>
        <v>32.344103909042452</v>
      </c>
      <c r="G11" s="34"/>
      <c r="H11" s="33"/>
      <c r="I11" s="33"/>
      <c r="J11" s="33">
        <f>$C$31*('E Balans VL '!D11+'E Balans VL '!E11)/100/3.6*1000000</f>
        <v>0</v>
      </c>
      <c r="K11" s="33"/>
      <c r="L11" s="33"/>
      <c r="M11" s="33"/>
      <c r="N11" s="33">
        <f>$C$31*'E Balans VL '!Y11/100/3.6*1000000</f>
        <v>0.77902485496573304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12873.805956764294</v>
      </c>
      <c r="C16" s="21">
        <f t="shared" ca="1" si="1"/>
        <v>0</v>
      </c>
      <c r="D16" s="21">
        <f t="shared" ca="1" si="1"/>
        <v>11701.886093288198</v>
      </c>
      <c r="E16" s="21">
        <f t="shared" si="1"/>
        <v>70.599221095321667</v>
      </c>
      <c r="F16" s="21">
        <f t="shared" ca="1" si="1"/>
        <v>3302.0279173413132</v>
      </c>
      <c r="G16" s="21">
        <f t="shared" si="1"/>
        <v>0</v>
      </c>
      <c r="H16" s="21">
        <f t="shared" si="1"/>
        <v>0</v>
      </c>
      <c r="I16" s="21">
        <f t="shared" si="1"/>
        <v>0</v>
      </c>
      <c r="J16" s="21">
        <f t="shared" si="1"/>
        <v>4.0616609511921517E-2</v>
      </c>
      <c r="K16" s="21">
        <f t="shared" si="1"/>
        <v>0</v>
      </c>
      <c r="L16" s="21">
        <f t="shared" ca="1" si="1"/>
        <v>0</v>
      </c>
      <c r="M16" s="21">
        <f t="shared" si="1"/>
        <v>0</v>
      </c>
      <c r="N16" s="21">
        <f t="shared" ca="1" si="1"/>
        <v>1481.4418679146379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0.2052511965894514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2642.3640772862786</v>
      </c>
      <c r="C20" s="23">
        <f t="shared" ref="C20:P20" ca="1" si="2">C16*C18</f>
        <v>0</v>
      </c>
      <c r="D20" s="23">
        <f t="shared" ca="1" si="2"/>
        <v>2363.7809908442164</v>
      </c>
      <c r="E20" s="23">
        <f t="shared" si="2"/>
        <v>16.026023188638018</v>
      </c>
      <c r="F20" s="23">
        <f t="shared" ca="1" si="2"/>
        <v>881.64145393013064</v>
      </c>
      <c r="G20" s="23">
        <f t="shared" si="2"/>
        <v>0</v>
      </c>
      <c r="H20" s="23">
        <f t="shared" si="2"/>
        <v>0</v>
      </c>
      <c r="I20" s="23">
        <f t="shared" si="2"/>
        <v>0</v>
      </c>
      <c r="J20" s="23">
        <f t="shared" si="2"/>
        <v>1.4378279767220217E-2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3295.6339386414602</v>
      </c>
      <c r="C26" s="39">
        <f>IF(ISERROR(B26*3.6/1000000/'E Balans VL '!Z12*100),0,B26*3.6/1000000/'E Balans VL '!Z12*100)</f>
        <v>9.2945604350222477E-2</v>
      </c>
      <c r="D26" s="233" t="s">
        <v>691</v>
      </c>
      <c r="F26" s="6"/>
    </row>
    <row r="27" spans="1:18">
      <c r="A27" s="228" t="s">
        <v>52</v>
      </c>
      <c r="B27" s="33">
        <f>IF(ISERROR(TER_horeca_ele_kWh/1000),0,TER_horeca_ele_kWh/1000)</f>
        <v>760.81504401564291</v>
      </c>
      <c r="C27" s="39">
        <f>IF(ISERROR(B27*3.6/1000000/'E Balans VL '!Z9*100),0,B27*3.6/1000000/'E Balans VL '!Z9*100)</f>
        <v>5.6405089146512231E-2</v>
      </c>
      <c r="D27" s="233" t="s">
        <v>691</v>
      </c>
      <c r="F27" s="6"/>
    </row>
    <row r="28" spans="1:18">
      <c r="A28" s="168" t="s">
        <v>51</v>
      </c>
      <c r="B28" s="33">
        <f>IF(ISERROR(TER_handel_ele_kWh/1000),0,TER_handel_ele_kWh/1000)</f>
        <v>3103.2573650886002</v>
      </c>
      <c r="C28" s="39">
        <f>IF(ISERROR(B28*3.6/1000000/'E Balans VL '!Z13*100),0,B28*3.6/1000000/'E Balans VL '!Z13*100)</f>
        <v>9.2966212388195371E-2</v>
      </c>
      <c r="D28" s="233" t="s">
        <v>691</v>
      </c>
      <c r="F28" s="6"/>
    </row>
    <row r="29" spans="1:18">
      <c r="A29" s="228" t="s">
        <v>50</v>
      </c>
      <c r="B29" s="33">
        <f>IF(ISERROR(TER_gezond_ele_kWh/1000),0,TER_gezond_ele_kWh/1000)</f>
        <v>1324.7131551948198</v>
      </c>
      <c r="C29" s="39">
        <f>IF(ISERROR(B29*3.6/1000000/'E Balans VL '!Z10*100),0,B29*3.6/1000000/'E Balans VL '!Z10*100)</f>
        <v>0.13098815600448377</v>
      </c>
      <c r="D29" s="233" t="s">
        <v>691</v>
      </c>
      <c r="F29" s="6"/>
    </row>
    <row r="30" spans="1:18">
      <c r="A30" s="228" t="s">
        <v>49</v>
      </c>
      <c r="B30" s="33">
        <f>IF(ISERROR(TER_ander_ele_kWh/1000),0,TER_ander_ele_kWh/1000)</f>
        <v>4112.73282334121</v>
      </c>
      <c r="C30" s="39">
        <f>IF(ISERROR(B30*3.6/1000000/'E Balans VL '!Z14*100),0,B30*3.6/1000000/'E Balans VL '!Z14*100)</f>
        <v>0.16634788878602669</v>
      </c>
      <c r="D30" s="233" t="s">
        <v>691</v>
      </c>
      <c r="F30" s="6"/>
    </row>
    <row r="31" spans="1:18">
      <c r="A31" s="228" t="s">
        <v>54</v>
      </c>
      <c r="B31" s="33">
        <f>IF(ISERROR(TER_onderwijs_ele_kWh/1000),0,TER_onderwijs_ele_kWh/1000)</f>
        <v>276.65363048256</v>
      </c>
      <c r="C31" s="39">
        <f>IF(ISERROR(B31*3.6/1000000/'E Balans VL '!Z11*100),0,B31*3.6/1000000/'E Balans VL '!Z11*100)</f>
        <v>7.6008851639397107E-2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5263.0458130701691</v>
      </c>
      <c r="C5" s="17">
        <f>IF(ISERROR('Eigen informatie GS &amp; warmtenet'!B61),0,'Eigen informatie GS &amp; warmtenet'!B61)</f>
        <v>0</v>
      </c>
      <c r="D5" s="30">
        <f>SUM(D6:D15)</f>
        <v>3132.0085618070043</v>
      </c>
      <c r="E5" s="17">
        <f>SUM(E6:E15)</f>
        <v>15.829619084280454</v>
      </c>
      <c r="F5" s="17">
        <f>SUM(F6:F15)</f>
        <v>2666.1521558247196</v>
      </c>
      <c r="G5" s="18"/>
      <c r="H5" s="17"/>
      <c r="I5" s="17"/>
      <c r="J5" s="17">
        <f>SUM(J6:J15)</f>
        <v>9.717393290139989E-2</v>
      </c>
      <c r="K5" s="17"/>
      <c r="L5" s="17"/>
      <c r="M5" s="17"/>
      <c r="N5" s="17">
        <f>SUM(N6:N15)</f>
        <v>223.80710859804748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103.220005297328</v>
      </c>
      <c r="C8" s="33"/>
      <c r="D8" s="37">
        <f>IF( ISERROR(IND_metaal_Gas_kWH/1000),0,IND_metaal_Gas_kWH/1000)*0.903</f>
        <v>0</v>
      </c>
      <c r="E8" s="33">
        <f>C30*'E Balans VL '!I18/100/3.6*1000000</f>
        <v>0.52045327646606199</v>
      </c>
      <c r="F8" s="33">
        <f>C30*'E Balans VL '!L18/100/3.6*1000000+C30*'E Balans VL '!N18/100/3.6*1000000</f>
        <v>7.0522016869393038</v>
      </c>
      <c r="G8" s="34"/>
      <c r="H8" s="33"/>
      <c r="I8" s="33"/>
      <c r="J8" s="40">
        <f>C30*'E Balans VL '!D18/100/3.6*1000000+C30*'E Balans VL '!E18/100/3.6*1000000</f>
        <v>9.1513339475960506E-2</v>
      </c>
      <c r="K8" s="33"/>
      <c r="L8" s="33"/>
      <c r="M8" s="33"/>
      <c r="N8" s="33">
        <f>C30*'E Balans VL '!Y18/100/3.6*1000000</f>
        <v>1.3717944829634272</v>
      </c>
      <c r="O8" s="33"/>
      <c r="P8" s="33"/>
      <c r="R8" s="32"/>
    </row>
    <row r="9" spans="1:18">
      <c r="A9" s="6" t="s">
        <v>32</v>
      </c>
      <c r="B9" s="37">
        <f t="shared" si="0"/>
        <v>4317.3344357238493</v>
      </c>
      <c r="C9" s="33"/>
      <c r="D9" s="37">
        <f>IF( ISERROR(IND_andere_gas_kWh/1000),0,IND_andere_gas_kWh/1000)*0.903</f>
        <v>2948.2331102465373</v>
      </c>
      <c r="E9" s="33">
        <f>C31*'E Balans VL '!I19/100/3.6*1000000</f>
        <v>13.609258514493156</v>
      </c>
      <c r="F9" s="33">
        <f>C31*'E Balans VL '!L19/100/3.6*1000000+C31*'E Balans VL '!N19/100/3.6*1000000</f>
        <v>2642.8905600270682</v>
      </c>
      <c r="G9" s="34"/>
      <c r="H9" s="33"/>
      <c r="I9" s="33"/>
      <c r="J9" s="40">
        <f>C31*'E Balans VL '!D19/100/3.6*1000000+C31*'E Balans VL '!E19/100/3.6*1000000</f>
        <v>0</v>
      </c>
      <c r="K9" s="33"/>
      <c r="L9" s="33"/>
      <c r="M9" s="33"/>
      <c r="N9" s="33">
        <f>C31*'E Balans VL '!Y19/100/3.6*1000000</f>
        <v>181.03169505667265</v>
      </c>
      <c r="O9" s="33"/>
      <c r="P9" s="33"/>
      <c r="R9" s="32"/>
    </row>
    <row r="10" spans="1:18">
      <c r="A10" s="6" t="s">
        <v>40</v>
      </c>
      <c r="B10" s="37">
        <f t="shared" si="0"/>
        <v>732.99163400870702</v>
      </c>
      <c r="C10" s="33"/>
      <c r="D10" s="37">
        <f>IF( ISERROR(IND_voed_gas_kWh/1000),0,IND_voed_gas_kWh/1000)*0.903</f>
        <v>63.470098621106878</v>
      </c>
      <c r="E10" s="33">
        <f>C32*'E Balans VL '!I20/100/3.6*1000000</f>
        <v>1.1681828088896158</v>
      </c>
      <c r="F10" s="33">
        <f>C32*'E Balans VL '!L20/100/3.6*1000000+C32*'E Balans VL '!N20/100/3.6*1000000</f>
        <v>11.909333414119768</v>
      </c>
      <c r="G10" s="34"/>
      <c r="H10" s="33"/>
      <c r="I10" s="33"/>
      <c r="J10" s="40">
        <f>C32*'E Balans VL '!D20/100/3.6*1000000+C32*'E Balans VL '!E20/100/3.6*1000000</f>
        <v>0</v>
      </c>
      <c r="K10" s="33"/>
      <c r="L10" s="33"/>
      <c r="M10" s="33"/>
      <c r="N10" s="33">
        <f>C32*'E Balans VL '!Y20/100/3.6*1000000</f>
        <v>23.151536634830457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106.72705680753299</v>
      </c>
      <c r="C12" s="33"/>
      <c r="D12" s="37">
        <f>IF( ISERROR(IND_min_gas_kWh/1000),0,IND_min_gas_kWh/1000)*0.903</f>
        <v>76.421686573133741</v>
      </c>
      <c r="E12" s="33">
        <f>C34*'E Balans VL '!I22/100/3.6*1000000</f>
        <v>0.46183687481192437</v>
      </c>
      <c r="F12" s="33">
        <f>C34*'E Balans VL '!L22/100/3.6*1000000+C34*'E Balans VL '!N22/100/3.6*1000000</f>
        <v>4.0749707759226554</v>
      </c>
      <c r="G12" s="34"/>
      <c r="H12" s="33"/>
      <c r="I12" s="33"/>
      <c r="J12" s="40">
        <f>C34*'E Balans VL '!D22/100/3.6*1000000+C34*'E Balans VL '!E22/100/3.6*1000000</f>
        <v>0</v>
      </c>
      <c r="K12" s="33"/>
      <c r="L12" s="33"/>
      <c r="M12" s="33"/>
      <c r="N12" s="33">
        <f>C34*'E Balans VL '!Y22/100/3.6*1000000</f>
        <v>18.205231712216708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2.7726812327516002</v>
      </c>
      <c r="C15" s="33"/>
      <c r="D15" s="37">
        <f>IF( ISERROR(IND_rest_gas_kWh/1000),0,IND_rest_gas_kWh/1000)*0.903</f>
        <v>43.883666366226244</v>
      </c>
      <c r="E15" s="33">
        <f>C37*'E Balans VL '!I15/100/3.6*1000000</f>
        <v>6.9887609619694577E-2</v>
      </c>
      <c r="F15" s="33">
        <f>C37*'E Balans VL '!L15/100/3.6*1000000+C37*'E Balans VL '!N15/100/3.6*1000000</f>
        <v>0.22508992066937245</v>
      </c>
      <c r="G15" s="34"/>
      <c r="H15" s="33"/>
      <c r="I15" s="33"/>
      <c r="J15" s="40">
        <f>C37*'E Balans VL '!D15/100/3.6*1000000+C37*'E Balans VL '!E15/100/3.6*1000000</f>
        <v>5.6605934254393775E-3</v>
      </c>
      <c r="K15" s="33"/>
      <c r="L15" s="33"/>
      <c r="M15" s="33"/>
      <c r="N15" s="33">
        <f>C37*'E Balans VL '!Y15/100/3.6*1000000</f>
        <v>4.6850711364231933E-2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5263.0458130701691</v>
      </c>
      <c r="C18" s="21">
        <f>C5+C16</f>
        <v>0</v>
      </c>
      <c r="D18" s="21">
        <f>MAX((D5+D16),0)</f>
        <v>3132.0085618070043</v>
      </c>
      <c r="E18" s="21">
        <f>MAX((E5+E16),0)</f>
        <v>15.829619084280454</v>
      </c>
      <c r="F18" s="21">
        <f>MAX((F5+F16),0)</f>
        <v>2666.1521558247196</v>
      </c>
      <c r="G18" s="21"/>
      <c r="H18" s="21"/>
      <c r="I18" s="21"/>
      <c r="J18" s="21">
        <f>MAX((J5+J16),0)</f>
        <v>9.717393290139989E-2</v>
      </c>
      <c r="K18" s="21"/>
      <c r="L18" s="21">
        <f>MAX((L5+L16),0)</f>
        <v>0</v>
      </c>
      <c r="M18" s="21"/>
      <c r="N18" s="21">
        <f>MAX((N5+N16),0)</f>
        <v>223.80710859804748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0.2052511965894514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1080.2464508377543</v>
      </c>
      <c r="C22" s="23">
        <f ca="1">C18*C20</f>
        <v>0</v>
      </c>
      <c r="D22" s="23">
        <f>D18*D20</f>
        <v>632.66572948501494</v>
      </c>
      <c r="E22" s="23">
        <f>E18*E20</f>
        <v>3.593323532131663</v>
      </c>
      <c r="F22" s="23">
        <f>F18*F20</f>
        <v>711.86262560520015</v>
      </c>
      <c r="G22" s="23"/>
      <c r="H22" s="23"/>
      <c r="I22" s="23"/>
      <c r="J22" s="23">
        <f>J18*J20</f>
        <v>3.4399572247095563E-2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103.220005297328</v>
      </c>
      <c r="C30" s="39">
        <f>IF(ISERROR(B30*3.6/1000000/'E Balans VL '!Z18*100),0,B30*3.6/1000000/'E Balans VL '!Z18*100)</f>
        <v>5.1236084310024394E-3</v>
      </c>
      <c r="D30" s="233" t="s">
        <v>691</v>
      </c>
    </row>
    <row r="31" spans="1:18">
      <c r="A31" s="6" t="s">
        <v>32</v>
      </c>
      <c r="B31" s="37">
        <f>IF( ISERROR(IND_ander_ele_kWh/1000),0,IND_ander_ele_kWh/1000)</f>
        <v>4317.3344357238493</v>
      </c>
      <c r="C31" s="39">
        <f>IF(ISERROR(B31*3.6/1000000/'E Balans VL '!Z19*100),0,B31*3.6/1000000/'E Balans VL '!Z19*100)</f>
        <v>0.14568791381514604</v>
      </c>
      <c r="D31" s="233" t="s">
        <v>691</v>
      </c>
    </row>
    <row r="32" spans="1:18">
      <c r="A32" s="168" t="s">
        <v>40</v>
      </c>
      <c r="B32" s="37">
        <f>IF( ISERROR(IND_voed_ele_kWh/1000),0,IND_voed_ele_kWh/1000)</f>
        <v>732.99163400870702</v>
      </c>
      <c r="C32" s="39">
        <f>IF(ISERROR(B32*3.6/1000000/'E Balans VL '!Z20*100),0,B32*3.6/1000000/'E Balans VL '!Z20*100)</f>
        <v>1.7213805018291017E-2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106.72705680753299</v>
      </c>
      <c r="C34" s="39">
        <f>IF(ISERROR(B34*3.6/1000000/'E Balans VL '!Z22*100),0,B34*3.6/1000000/'E Balans VL '!Z22*100)</f>
        <v>1.5141448506983464E-2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2.7726812327516002</v>
      </c>
      <c r="C37" s="39">
        <f>IF(ISERROR(B37*3.6/1000000/'E Balans VL '!Z15*100),0,B37*3.6/1000000/'E Balans VL '!Z15*100)</f>
        <v>1.0390703889485083E-5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63.003673080537006</v>
      </c>
      <c r="C5" s="17">
        <f>'Eigen informatie GS &amp; warmtenet'!B62</f>
        <v>0</v>
      </c>
      <c r="D5" s="30">
        <f>IF(ISERROR(SUM(LB_lb_gas_kWh,LB_rest_gas_kWh)/1000),0,SUM(LB_lb_gas_kWh,LB_rest_gas_kWh)/1000)*0.903</f>
        <v>109.16344956882263</v>
      </c>
      <c r="E5" s="17">
        <f>B17*'E Balans VL '!I25/3.6*1000000/100</f>
        <v>2.3495996836617392</v>
      </c>
      <c r="F5" s="17">
        <f>B17*('E Balans VL '!L25/3.6*1000000+'E Balans VL '!N25/3.6*1000000)/100</f>
        <v>204.40826105085682</v>
      </c>
      <c r="G5" s="18"/>
      <c r="H5" s="17"/>
      <c r="I5" s="17"/>
      <c r="J5" s="17">
        <f>('E Balans VL '!D25+'E Balans VL '!E25)/3.6*1000000*landbouw!B17/100</f>
        <v>16.538775226924034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63.003673080537006</v>
      </c>
      <c r="C8" s="21">
        <f>C5+C6</f>
        <v>0</v>
      </c>
      <c r="D8" s="21">
        <f>MAX((D5+D6),0)</f>
        <v>109.16344956882263</v>
      </c>
      <c r="E8" s="21">
        <f>MAX((E5+E6),0)</f>
        <v>2.3495996836617392</v>
      </c>
      <c r="F8" s="21">
        <f>MAX((F5+F6),0)</f>
        <v>204.40826105085682</v>
      </c>
      <c r="G8" s="21"/>
      <c r="H8" s="21"/>
      <c r="I8" s="21"/>
      <c r="J8" s="21">
        <f>MAX((J5+J6),0)</f>
        <v>16.538775226924034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0.2052511965894514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12.931579289310829</v>
      </c>
      <c r="C12" s="23">
        <f ca="1">C8*C10</f>
        <v>0</v>
      </c>
      <c r="D12" s="23">
        <f>D8*D10</f>
        <v>22.051016812902173</v>
      </c>
      <c r="E12" s="23">
        <f>E8*E10</f>
        <v>0.53335912819121478</v>
      </c>
      <c r="F12" s="23">
        <f>F8*F10</f>
        <v>54.577005700578773</v>
      </c>
      <c r="G12" s="23"/>
      <c r="H12" s="23"/>
      <c r="I12" s="23"/>
      <c r="J12" s="23">
        <f>J8*J10</f>
        <v>5.854726430331108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8.653390088370478E-3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13.478425354013426</v>
      </c>
      <c r="C26" s="243">
        <f>B26*'GWP N2O_CH4'!B5</f>
        <v>283.04693243428193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1.6456857663690747</v>
      </c>
      <c r="C27" s="243">
        <f>B27*'GWP N2O_CH4'!B5</f>
        <v>34.559401093750566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0.2085280808210884</v>
      </c>
      <c r="C28" s="243">
        <f>B28*'GWP N2O_CH4'!B4</f>
        <v>64.643705054537406</v>
      </c>
      <c r="D28" s="50"/>
    </row>
    <row r="29" spans="1:4">
      <c r="A29" s="41" t="s">
        <v>272</v>
      </c>
      <c r="B29" s="243">
        <f>B34*'ha_N2O bodem landbouw'!B4</f>
        <v>1.4917903279769626</v>
      </c>
      <c r="C29" s="243">
        <f>B29*'GWP N2O_CH4'!B4</f>
        <v>462.45500167285843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3.3998327601848517E-4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1.9968136018258718E-4</v>
      </c>
      <c r="C5" s="434" t="s">
        <v>210</v>
      </c>
      <c r="D5" s="419">
        <f>SUM(D6:D11)</f>
        <v>3.9440858995287871E-4</v>
      </c>
      <c r="E5" s="419">
        <f>SUM(E6:E11)</f>
        <v>2.1422076025255285E-4</v>
      </c>
      <c r="F5" s="432" t="s">
        <v>210</v>
      </c>
      <c r="G5" s="419">
        <f>SUM(G6:G11)</f>
        <v>7.6985472786992332E-2</v>
      </c>
      <c r="H5" s="419">
        <f>SUM(H6:H11)</f>
        <v>2.3867996299300788E-2</v>
      </c>
      <c r="I5" s="434" t="s">
        <v>210</v>
      </c>
      <c r="J5" s="434" t="s">
        <v>210</v>
      </c>
      <c r="K5" s="434" t="s">
        <v>210</v>
      </c>
      <c r="L5" s="434" t="s">
        <v>210</v>
      </c>
      <c r="M5" s="419">
        <f>SUM(M6:M11)</f>
        <v>5.9936188305696617E-3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1.0200306808368754E-4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1.7724926067374391E-4</v>
      </c>
      <c r="E6" s="885">
        <f>vkm_GW_PW*SUMIFS(TableVerdeelsleutelVkm[LPG],TableVerdeelsleutelVkm[Voertuigtype],"Lichte voertuigen")*SUMIFS(TableECFTransport[EnergieConsumptieFactor (PJ per km)],TableECFTransport[Index],CONCATENATE($A6,"_LPG_LPG"))</f>
        <v>9.8562151450186047E-5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2.9618863634103081E-2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1.0799136697743237E-2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2.4183088622525225E-3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2.627060555304936E-7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1.0872746296258888E-2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1.1061026075424493E-7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6.1215237902662218E-4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9.7331014637059828E-5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2.171593292791348E-4</v>
      </c>
      <c r="E8" s="422">
        <f>vkm_NGW_PW*SUMIFS(TableVerdeelsleutelVkm[LPG],TableVerdeelsleutelVkm[Voertuigtype],"Lichte voertuigen")*SUMIFS(TableECFTransport[EnergieConsumptieFactor (PJ per km)],TableECFTransport[Index],CONCATENATE($A8,"_LPG_LPG"))</f>
        <v>1.1565860880236681E-4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3.1986422098951826E-2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1.3068706011403683E-2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2.7093819253675953E-3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8.4571406309310175E-8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4.5074407576785368E-3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4.2979893113805726E-8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2.5377566392292215E-4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55.467044495163101</v>
      </c>
      <c r="C14" s="21"/>
      <c r="D14" s="21">
        <f t="shared" ref="D14:M14" si="0">((D5)*10^9/3600)+D12</f>
        <v>109.55794165357742</v>
      </c>
      <c r="E14" s="21">
        <f t="shared" si="0"/>
        <v>59.505766736820242</v>
      </c>
      <c r="F14" s="21"/>
      <c r="G14" s="21">
        <f t="shared" si="0"/>
        <v>21384.853551942313</v>
      </c>
      <c r="H14" s="21">
        <f t="shared" si="0"/>
        <v>6629.9989720279973</v>
      </c>
      <c r="I14" s="21"/>
      <c r="J14" s="21"/>
      <c r="K14" s="21"/>
      <c r="L14" s="21"/>
      <c r="M14" s="21">
        <f t="shared" si="0"/>
        <v>1664.894119602684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0.2052511965894514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11.384677253912569</v>
      </c>
      <c r="C18" s="23"/>
      <c r="D18" s="23">
        <f t="shared" ref="D18:M18" si="1">D14*D16</f>
        <v>22.130704214022639</v>
      </c>
      <c r="E18" s="23">
        <f t="shared" si="1"/>
        <v>13.507809049258196</v>
      </c>
      <c r="F18" s="23"/>
      <c r="G18" s="23">
        <f t="shared" si="1"/>
        <v>5709.7558983685976</v>
      </c>
      <c r="H18" s="23">
        <f t="shared" si="1"/>
        <v>1650.8697440349713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5.283889962215309E-5</v>
      </c>
      <c r="C50" s="315">
        <f t="shared" ref="C50:P50" si="2">SUM(C51:C52)</f>
        <v>0</v>
      </c>
      <c r="D50" s="315">
        <f t="shared" si="2"/>
        <v>0</v>
      </c>
      <c r="E50" s="315">
        <f t="shared" si="2"/>
        <v>0</v>
      </c>
      <c r="F50" s="315">
        <f t="shared" si="2"/>
        <v>0</v>
      </c>
      <c r="G50" s="315">
        <f t="shared" si="2"/>
        <v>3.7715453990775417E-3</v>
      </c>
      <c r="H50" s="315">
        <f t="shared" si="2"/>
        <v>0</v>
      </c>
      <c r="I50" s="315">
        <f t="shared" si="2"/>
        <v>0</v>
      </c>
      <c r="J50" s="315">
        <f t="shared" si="2"/>
        <v>0</v>
      </c>
      <c r="K50" s="315">
        <f t="shared" si="2"/>
        <v>0</v>
      </c>
      <c r="L50" s="315">
        <f t="shared" si="2"/>
        <v>0</v>
      </c>
      <c r="M50" s="315">
        <f t="shared" si="2"/>
        <v>2.0825943356917205E-4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5.283889962215309E-5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3.7715453990775417E-3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2.0825943356917205E-4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14.677472117264747</v>
      </c>
      <c r="C54" s="21">
        <f t="shared" ref="C54:P54" si="3">(C50)*10^9/3600</f>
        <v>0</v>
      </c>
      <c r="D54" s="21">
        <f t="shared" si="3"/>
        <v>0</v>
      </c>
      <c r="E54" s="21">
        <f t="shared" si="3"/>
        <v>0</v>
      </c>
      <c r="F54" s="21">
        <f t="shared" si="3"/>
        <v>0</v>
      </c>
      <c r="G54" s="21">
        <f t="shared" si="3"/>
        <v>1047.6514997437616</v>
      </c>
      <c r="H54" s="21">
        <f t="shared" si="3"/>
        <v>0</v>
      </c>
      <c r="I54" s="21">
        <f t="shared" si="3"/>
        <v>0</v>
      </c>
      <c r="J54" s="21">
        <f t="shared" si="3"/>
        <v>0</v>
      </c>
      <c r="K54" s="21">
        <f t="shared" si="3"/>
        <v>0</v>
      </c>
      <c r="L54" s="21">
        <f t="shared" si="3"/>
        <v>0</v>
      </c>
      <c r="M54" s="21">
        <f t="shared" si="3"/>
        <v>57.849842658103348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0.2052511965894514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3.012568714976898</v>
      </c>
      <c r="C58" s="23">
        <f t="shared" ref="C58:P58" ca="1" si="4">C54*C56</f>
        <v>0</v>
      </c>
      <c r="D58" s="23">
        <f t="shared" si="4"/>
        <v>0</v>
      </c>
      <c r="E58" s="23">
        <f t="shared" si="4"/>
        <v>0</v>
      </c>
      <c r="F58" s="23">
        <f t="shared" si="4"/>
        <v>0</v>
      </c>
      <c r="G58" s="23">
        <f t="shared" si="4"/>
        <v>279.72295043158437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2966.052007360679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2966.052007360679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2021-06-29T14:27:22Z</dcterms:modified>
</cp:coreProperties>
</file>