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<sst xmlns="http://schemas.openxmlformats.org/spreadsheetml/2006/main" count="2448" uniqueCount="883">
  <si>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</si>
  <si>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</si>
  <si>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</si>
  <si>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</si>
  <si>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</si>
  <si>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</si>
  <si>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</si>
  <si>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</si>
  <si>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</si>
  <si>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</si>
  <si>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</si>
  <si>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</si>
  <si>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</si>
  <si>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</si>
  <si>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</si>
  <si>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</si>
  <si>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</si>
  <si>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</si>
  <si>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</si>
  <si>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</si>
  <si>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</si>
  <si>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</si>
  <si>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</si>
  <si>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</si>
  <si>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</si>
  <si>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</si>
  <si>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</si>
  <si>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</si>
  <si>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</si>
  <si>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</si>
  <si>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</si>
  <si>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</si>
  <si>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</si>
  <si>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</si>
  <si>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</si>
  <si>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</si>
  <si>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</si>
  <si>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</si>
  <si>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</si>
  <si>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</si>
  <si>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</si>
  <si>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</si>
  <si>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</si>
  <si>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</si>
  <si>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</si>
  <si>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</si>
  <si>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</si>
  <si>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</si>
  <si>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</si>
  <si>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</si>
  <si>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</si>
  <si>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</si>
  <si>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</si>
  <si>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</si>
  <si>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</si>
  <si>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</si>
  <si>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</si>
  <si>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</si>
  <si>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</si>
  <si>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</si>
  <si>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</si>
  <si>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</si>
  <si>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</si>
  <si>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</si>
  <si>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</si>
  <si>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</si>
  <si>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</si>
  <si>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</si>
  <si>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</si>
  <si>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</si>
  <si>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</si>
  <si>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</si>
  <si>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</si>
  <si>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</si>
  <si>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</si>
  <si>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</si>
  <si>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</si>
  <si>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</si>
  <si>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</si>
  <si>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</si>
  <si>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</si>
  <si>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</si>
  <si>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</si>
  <si>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</si>
  <si>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</si>
  <si>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</si>
  <si>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</si>
  <si>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</si>
  <si>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</si>
  <si>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</si>
  <si>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</si>
  <si>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</si>
  <si>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</si>
  <si>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</si>
  <si>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</si>
  <si>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</si>
  <si>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</si>
  <si>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</si>
  <si>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</si>
  <si>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</si>
  <si>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</si>
  <si>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</si>
  <si>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</si>
  <si>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</si>
  <si>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</si>
  <si>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</si>
  <si>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</si>
  <si>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</si>
  <si>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</si>
  <si>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</si>
  <si>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</si>
  <si>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</si>
  <si>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</si>
  <si>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</si>
  <si>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</si>
  <si>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</si>
  <si>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</si>
  <si>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</si>
  <si>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</si>
  <si>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</si>
  <si>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</si>
  <si>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</si>
  <si>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</si>
  <si>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</si>
  <si>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</si>
  <si>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</si>
  <si>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</si>
  <si>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</si>
  <si>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</si>
  <si>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</si>
  <si>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</si>
  <si>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</si>
  <si>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</si>
  <si>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</si>
  <si>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</si>
  <si>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</si>
  <si>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</si>
  <si>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</si>
  <si>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</si>
  <si>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</si>
  <si>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</si>
  <si>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</si>
  <si>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</si>
  <si>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</si>
  <si>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</si>
  <si>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</si>
  <si>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</si>
  <si>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</si>
  <si>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</si>
  <si>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</si>
  <si>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</si>
  <si>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</si>
  <si>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</si>
  <si>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</si>
  <si>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</si>
  <si>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</si>
  <si>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</si>
  <si>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</si>
  <si>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</si>
  <si>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</si>
  <si>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</si>
  <si>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</si>
  <si>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</si>
  <si>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</si>
  <si>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</si>
  <si>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</si>
  <si>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</si>
  <si>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</si>
  <si>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</si>
  <si>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</si>
  <si>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</si>
  <si>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</si>
  <si>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</si>
  <si>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</si>
  <si>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</si>
  <si>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</si>
  <si>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</si>
  <si>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</si>
  <si>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</si>
  <si>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</si>
  <si>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</si>
  <si>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</si>
  <si>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</si>
  <si>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</si>
  <si>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</si>
  <si>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</si>
  <si>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</si>
  <si>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</si>
  <si>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</si>
  <si>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</si>
  <si>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</si>
  <si>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</si>
  <si>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</si>
  <si>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</si>
  <si>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</si>
  <si>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</si>
  <si>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</si>
  <si>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</si>
  <si>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</si>
  <si>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</si>
  <si>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</si>
  <si>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</si>
  <si>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</si>
  <si>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</si>
  <si>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</si>
  <si>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</si>
  <si>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</si>
  <si>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</si>
  <si>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</si>
  <si>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</si>
  <si>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</si>
  <si>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</si>
  <si>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</si>
  <si>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</si>
  <si>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</si>
  <si>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</si>
  <si>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</si>
  <si>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</si>
  <si>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</si>
  <si>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</si>
  <si>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</si>
  <si>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</si>
  <si>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</si>
  <si>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</si>
  <si>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</si>
  <si>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</si>
  <si>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</si>
  <si>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</si>
  <si>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</si>
  <si>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</si>
  <si>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</si>
  <si>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</si>
  <si>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</si>
  <si>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</si>
  <si>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</si>
  <si>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</si>
  <si>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</si>
  <si>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</si>
  <si>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</si>
  <si>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</si>
  <si>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</si>
  <si>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</si>
  <si>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</si>
  <si>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</si>
  <si>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</si>
  <si>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</si>
  <si>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</si>
  <si>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</si>
  <si>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</si>
  <si>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</si>
  <si>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</si>
  <si>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</si>
  <si>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</si>
  <si>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</si>
  <si>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</si>
  <si>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</si>
  <si>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</si>
  <si>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</si>
  <si>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</si>
  <si>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</si>
  <si>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</si>
  <si>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</si>
  <si>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</si>
  <si>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</si>
  <si>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</si>
  <si>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</si>
  <si>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</si>
  <si>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</si>
  <si>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</si>
  <si>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</si>
  <si>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</si>
  <si>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</si>
  <si>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</si>
  <si>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</si>
  <si>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</si>
  <si>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</si>
  <si>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</si>
  <si>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</si>
  <si>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</si>
  <si>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</si>
  <si>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</si>
  <si>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</si>
  <si>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</si>
  <si>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</si>
  <si>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</si>
  <si>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</si>
  <si>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</si>
  <si>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</si>
  <si>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</si>
  <si>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</si>
  <si>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</si>
  <si>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</si>
  <si>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</si>
  <si>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</si>
  <si>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</si>
  <si>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</si>
  <si>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</si>
  <si>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</si>
  <si>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</si>
  <si>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</si>
  <si>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</si>
  <si>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</si>
  <si>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</si>
  <si>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</si>
  <si>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</si>
  <si>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</si>
  <si>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</si>
  <si>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</si>
  <si>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</si>
  <si>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</si>
  <si>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</si>
  <si>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</si>
  <si>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</si>
  <si>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</si>
  <si>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</si>
  <si>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</si>
  <si>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</si>
  <si>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</si>
  <si>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</si>
  <si>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</si>
  <si>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</si>
  <si>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</si>
  <si>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</si>
  <si>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</si>
  <si>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</si>
  <si>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</si>
  <si>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</si>
  <si>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</si>
  <si>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</si>
  <si>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</si>
  <si>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</si>
  <si>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</si>
  <si>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</si>
  <si>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</si>
  <si>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</si>
  <si>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</si>
  <si>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</si>
  <si>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</si>
  <si>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</si>
  <si>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</si>
  <si>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</si>
  <si>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</si>
  <si>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</si>
  <si>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</si>
  <si>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</si>
  <si>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</si>
  <si>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</si>
  <si>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</si>
  <si>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</si>
  <si>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</si>
  <si>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</si>
  <si>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</si>
  <si>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</si>
  <si>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</si>
  <si>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</si>
  <si>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</si>
  <si>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</si>
  <si>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</si>
  <si>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</si>
  <si>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</si>
  <si>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</si>
  <si>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</si>
  <si>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</si>
  <si>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</si>
  <si>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</si>
  <si>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</si>
  <si>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</si>
  <si>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</si>
  <si>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</si>
  <si>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</si>
  <si>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</si>
  <si>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</si>
  <si>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</si>
  <si>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</si>
  <si>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</si>
  <si>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</si>
  <si>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</si>
  <si>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</si>
  <si>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</si>
  <si>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</si>
  <si>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</si>
  <si>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</si>
  <si>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</si>
  <si>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</si>
  <si>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</si>
  <si>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</si>
  <si>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</si>
  <si>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</si>
  <si>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</si>
  <si>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</si>
  <si>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</si>
  <si>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</si>
  <si>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</si>
  <si>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</si>
  <si>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</si>
  <si>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</si>
  <si>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</si>
  <si>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</si>
  <si>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</si>
  <si>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</si>
  <si>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</si>
  <si>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</si>
  <si>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</si>
  <si>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</si>
  <si>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</si>
  <si>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</si>
  <si>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</si>
  <si>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</si>
  <si>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</si>
  <si>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</si>
  <si>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</si>
  <si>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</si>
  <si>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</si>
  <si>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</si>
  <si>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</si>
  <si>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</si>
  <si>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</si>
  <si>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</si>
  <si>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</si>
  <si>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</si>
  <si>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</si>
  <si>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</si>
  <si>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</si>
  <si>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</si>
  <si>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</si>
  <si>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</si>
  <si>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</si>
  <si>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</si>
  <si>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</si>
  <si>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</si>
  <si>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</si>
  <si>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</si>
  <si>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</si>
  <si>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</si>
  <si>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</si>
  <si>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</si>
  <si>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</si>
  <si>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</si>
  <si>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</si>
  <si>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</si>
  <si>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</si>
  <si>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</si>
  <si>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</si>
  <si>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</si>
  <si>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</si>
  <si>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</si>
  <si>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</si>
  <si>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</si>
  <si>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</si>
  <si>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</si>
  <si>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</si>
  <si>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</si>
  <si>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</si>
  <si>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</si>
  <si>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</si>
  <si>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</si>
  <si>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</si>
  <si>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</si>
  <si>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</si>
  <si>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</si>
  <si>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</si>
  <si>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</si>
  <si>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</si>
  <si>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</si>
  <si>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</si>
  <si>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</si>
  <si>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</si>
  <si>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</si>
  <si>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</si>
  <si>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</si>
  <si>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</si>
  <si>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</si>
  <si>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</si>
  <si>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</si>
  <si>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</si>
  <si>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</si>
  <si>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</si>
  <si>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</si>
  <si>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</si>
  <si>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</si>
  <si>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</si>
  <si>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</si>
  <si>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</si>
  <si>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</si>
  <si>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</si>
  <si>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</si>
  <si>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</si>
  <si>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</si>
  <si>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</si>
  <si>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</si>
  <si>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</si>
  <si>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</si>
  <si>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</si>
  <si>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</si>
  <si>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</si>
  <si>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</si>
  <si>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</si>
  <si>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</si>
  <si>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</si>
  <si>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</si>
  <si>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</si>
  <si>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</si>
  <si>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</si>
  <si>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</si>
  <si>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</si>
  <si>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</si>
  <si>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</si>
  <si>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</si>
  <si>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</si>
  <si>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</si>
  <si>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</si>
  <si>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</si>
  <si>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</si>
  <si>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</si>
  <si>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</si>
  <si>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</si>
  <si>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</si>
  <si>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</si>
  <si>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</si>
  <si>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</si>
  <si>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</si>
  <si>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</si>
  <si>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</si>
  <si>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</si>
  <si>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</si>
  <si>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</si>
  <si>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</si>
  <si>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</si>
  <si>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</si>
  <si>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</si>
  <si>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</si>
  <si>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</si>
  <si>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</si>
  <si>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</si>
  <si>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</si>
  <si>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</si>
  <si>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</si>
  <si>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</si>
  <si>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</si>
  <si>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</si>
  <si>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</si>
  <si>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</si>
  <si>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</si>
  <si>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</si>
  <si>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</si>
  <si>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</si>
  <si>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</si>
  <si>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</si>
  <si>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</si>
  <si>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</si>
  <si>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</si>
  <si>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</si>
  <si>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</si>
  <si>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</si>
  <si>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</si>
  <si>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</si>
  <si>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</si>
  <si>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</si>
  <si>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</si>
  <si>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</si>
  <si>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</si>
  <si>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</si>
  <si>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</si>
  <si>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</si>
  <si>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</si>
  <si>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</si>
  <si>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</si>
  <si>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</si>
  <si>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</si>
  <si>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</si>
  <si>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</si>
  <si>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</si>
  <si>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</si>
  <si>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</si>
  <si>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</si>
  <si>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</si>
  <si>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</si>
  <si>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</si>
  <si>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</si>
  <si>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</si>
  <si>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</si>
  <si>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</si>
  <si>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</si>
  <si>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</si>
  <si>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</si>
  <si>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</si>
  <si>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</si>
  <si>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</si>
  <si>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</si>
  <si>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</si>
  <si>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</si>
  <si>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</si>
  <si>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</si>
  <si>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</si>
  <si>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</si>
  <si>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</si>
  <si>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</si>
  <si>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</si>
  <si>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</si>
  <si>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</si>
  <si>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</si>
  <si>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</si>
  <si>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</si>
  <si>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</si>
  <si>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</si>
  <si>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</si>
  <si>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</si>
  <si>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</si>
  <si>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</si>
  <si>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</si>
  <si>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</si>
  <si>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</si>
  <si>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</si>
  <si>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</si>
  <si>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</si>
  <si>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</si>
  <si>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</si>
  <si>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</si>
  <si>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</si>
  <si>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</si>
  <si>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</si>
  <si>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</si>
  <si>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</si>
  <si>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</si>
  <si>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</si>
  <si>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</si>
  <si>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</si>
  <si>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</si>
  <si>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</si>
  <si>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</si>
  <si>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</si>
  <si>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</si>
  <si>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</si>
  <si>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</si>
  <si>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</si>
  <si>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</si>
  <si>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</si>
  <si>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</si>
  <si>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</si>
  <si>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</si>
  <si>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</si>
  <si>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</si>
  <si>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</si>
  <si>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</si>
  <si>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</si>
  <si>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</si>
  <si>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</si>
  <si>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</si>
  <si>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</si>
  <si>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</si>
  <si>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</si>
  <si>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</si>
  <si>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</si>
  <si>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</si>
  <si>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</si>
  <si>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</si>
  <si>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</si>
  <si>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</si>
  <si>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</si>
  <si>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</si>
  <si>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</si>
  <si>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</si>
  <si>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</si>
  <si>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</si>
  <si>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</si>
  <si>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</si>
  <si>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</si>
  <si>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</si>
  <si>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</si>
  <si>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</si>
  <si>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</si>
  <si>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</si>
  <si>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</si>
  <si>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</si>
  <si>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</si>
  <si>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</si>
  <si>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</si>
  <si>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</si>
  <si>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</si>
  <si>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</si>
  <si>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</si>
  <si>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</si>
  <si>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</si>
  <si>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</si>
  <si>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</si>
  <si>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</si>
  <si>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</si>
  <si>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</si>
  <si>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</si>
  <si>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</si>
  <si>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</si>
  <si>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</si>
  <si>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</si>
  <si>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</si>
  <si>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</si>
  <si>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</si>
  <si>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</si>
  <si>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</si>
  <si>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</si>
  <si>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</si>
  <si>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</si>
  <si>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</si>
  <si>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</si>
  <si>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</si>
  <si>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</si>
  <si>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</si>
  <si>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</si>
  <si>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</si>
  <si>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</si>
  <si>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</si>
  <si>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</si>
  <si>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</si>
  <si>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</si>
  <si>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</si>
  <si>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</si>
  <si>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</si>
  <si>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</si>
  <si>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</si>
  <si>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</si>
  <si>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</si>
  <si>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</si>
  <si>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</si>
  <si>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</si>
  <si>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</si>
  <si>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</si>
  <si>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</si>
  <si>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</si>
  <si>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</si>
  <si>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</si>
  <si>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</si>
  <si>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</si>
  <si>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</si>
  <si>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</si>
  <si>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</si>
  <si>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</si>
  <si>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</si>
  <si>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</si>
  <si>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</si>
  <si>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</si>
  <si>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</si>
  <si>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</si>
  <si>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</si>
  <si>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</si>
  <si>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</si>
  <si>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</si>
  <si>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</si>
  <si>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</si>
  <si>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</si>
  <si>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</si>
  <si>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</si>
  <si>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</si>
  <si>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</si>
  <si>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</si>
  <si>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</si>
  <si>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</si>
  <si>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</si>
  <si>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</si>
  <si>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</si>
  <si>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</si>
  <si>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</si>
  <si>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</si>
  <si>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</si>
  <si>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</si>
  <si>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</si>
  <si>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</si>
  <si>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</si>
  <si>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</si>
  <si>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</si>
  <si>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</si>
  <si>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</si>
  <si>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</si>
  <si>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</si>
  <si>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</si>
  <si>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</si>
  <si>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</si>
  <si>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</si>
  <si>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</si>
  <si>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</si>
  <si>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</si>
  <si>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</si>
  <si>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</si>
  <si>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</si>
  <si>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</si>
  <si>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</si>
  <si>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</si>
  <si>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</si>
  <si>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</si>
  <si>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</si>
  <si>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</si>
  <si>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</si>
  <si>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</si>
  <si>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</si>
  <si>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</si>
  <si>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</si>
  <si>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</si>
  <si>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</si>
  <si>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</si>
  <si>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</si>
  <si>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</si>
  <si>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</si>
  <si>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</si>
  <si>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</si>
  <si>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</si>
  <si>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</si>
  <si>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</si>
  <si>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</si>
  <si>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</si>
  <si>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</si>
  <si>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</si>
  <si>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</si>
  <si>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</si>
  <si>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</si>
  <si>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</si>
  <si>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</si>
  <si>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</si>
  <si>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</si>
  <si>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</si>
  <si>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</si>
  <si>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</si>
  <si>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</si>
  <si>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</si>
  <si>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</si>
  <si>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</si>
  <si>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</si>
  <si>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</si>
  <si>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</si>
  <si>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</si>
  <si>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</si>
  <si>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</si>
  <si>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</si>
  <si>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</si>
  <si>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</si>
  <si>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</si>
  <si>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</si>
  <si>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</si>
  <si>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</si>
  <si>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</si>
  <si>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</si>
  <si>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</si>
  <si>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</si>
  <si>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</si>
  <si>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</si>
  <si>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</si>
  <si>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</si>
  <si>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</si>
  <si>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</si>
  <si>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</si>
  <si>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</si>
  <si>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</si>
  <si>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</si>
  <si>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</si>
  <si>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</si>
  <si>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</si>
  <si>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</si>
  <si>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</si>
  <si>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</si>
  <si>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</si>
  <si>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</si>
  <si>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</si>
  <si>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</si>
  <si>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</si>
  <si>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</si>
  <si>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</si>
  <si>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</si>
  <si>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</si>
  <si>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</si>
  <si>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</si>
  <si>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</si>
  <si>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</si>
  <si>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</si>
  <si>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</si>
  <si>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</si>
  <si>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</si>
  <si>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</si>
  <si>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</si>
  <si>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</si>
  <si>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</si>
  <si>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</si>
  <si>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</si>
  <si>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23003</t>
  </si>
  <si>
    <t>BEERSEL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</si>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</sst>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217818.96380004083</c:v>
                </c:pt>
                <c:pt idx="1">
                  <c:v>85733.779040240377</c:v>
                </c:pt>
                <c:pt idx="2">
                  <c:v>1933.5540000000001</c:v>
                </c:pt>
                <c:pt idx="3">
                  <c:v>728.71654555591749</c:v>
                </c:pt>
                <c:pt idx="4">
                  <c:v>40089.48632249386</c:v>
                </c:pt>
                <c:pt idx="5">
                  <c:v>267718.02401372464</c:v>
                </c:pt>
                <c:pt idx="6">
                  <c:v>2699.5383691650195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217818.96380004083</c:v>
                </c:pt>
                <c:pt idx="1">
                  <c:v>85733.779040240377</c:v>
                </c:pt>
                <c:pt idx="2">
                  <c:v>1933.5540000000001</c:v>
                </c:pt>
                <c:pt idx="3">
                  <c:v>728.71654555591749</c:v>
                </c:pt>
                <c:pt idx="4">
                  <c:v>40089.48632249386</c:v>
                </c:pt>
                <c:pt idx="5">
                  <c:v>267718.02401372464</c:v>
                </c:pt>
                <c:pt idx="6">
                  <c:v>2699.5383691650195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43561.448363933552</c:v>
                </c:pt>
                <c:pt idx="1">
                  <c:v>16804.585227585296</c:v>
                </c:pt>
                <c:pt idx="2">
                  <c:v>360.51244138594421</c:v>
                </c:pt>
                <c:pt idx="3">
                  <c:v>179.44363071214704</c:v>
                </c:pt>
                <c:pt idx="4">
                  <c:v>7899.0088968254813</c:v>
                </c:pt>
                <c:pt idx="5">
                  <c:v>66402.266367134143</c:v>
                </c:pt>
                <c:pt idx="6">
                  <c:v>680.70423263094494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43561.448363933552</c:v>
                </c:pt>
                <c:pt idx="1">
                  <c:v>16804.585227585296</c:v>
                </c:pt>
                <c:pt idx="2">
                  <c:v>360.51244138594421</c:v>
                </c:pt>
                <c:pt idx="3">
                  <c:v>179.44363071214704</c:v>
                </c:pt>
                <c:pt idx="4">
                  <c:v>7899.0088968254813</c:v>
                </c:pt>
                <c:pt idx="5">
                  <c:v>66402.266367134143</c:v>
                </c:pt>
                <c:pt idx="6">
                  <c:v>680.70423263094494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23003</v>
      </c>
      <c r="B6" s="386"/>
      <c r="C6" s="387"/>
    </row>
    <row r="7" spans="1:7" s="384" customFormat="1" ht="15.75" customHeight="1">
      <c r="A7" s="388" t="str">
        <f>txtMunicipality</f>
        <v>BEERSEL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38686.206451735387</v>
      </c>
      <c r="D10" s="682">
        <f ca="1">tertiair!C16</f>
        <v>0</v>
      </c>
      <c r="E10" s="682">
        <f ca="1">tertiair!D16</f>
        <v>42251.079758257947</v>
      </c>
      <c r="F10" s="682">
        <f>tertiair!E16</f>
        <v>100.67616289863361</v>
      </c>
      <c r="G10" s="682">
        <f ca="1">tertiair!F16</f>
        <v>5222.6383220334819</v>
      </c>
      <c r="H10" s="682">
        <f>tertiair!G16</f>
        <v>0</v>
      </c>
      <c r="I10" s="682">
        <f>tertiair!H16</f>
        <v>0</v>
      </c>
      <c r="J10" s="682">
        <f>tertiair!I16</f>
        <v>0</v>
      </c>
      <c r="K10" s="682">
        <f>tertiair!J16</f>
        <v>3.5231757516562934E-2</v>
      </c>
      <c r="L10" s="682">
        <f>tertiair!K16</f>
        <v>0</v>
      </c>
      <c r="M10" s="682">
        <f ca="1">tertiair!L16</f>
        <v>0</v>
      </c>
      <c r="N10" s="682">
        <f>tertiair!M16</f>
        <v>0</v>
      </c>
      <c r="O10" s="682">
        <f ca="1">tertiair!N16</f>
        <v>1296.7215761786094</v>
      </c>
      <c r="P10" s="682">
        <f>tertiair!O16</f>
        <v>4.8972607658411542</v>
      </c>
      <c r="Q10" s="683">
        <f>tertiair!P16</f>
        <v>105.07827661299004</v>
      </c>
      <c r="R10" s="685">
        <f ca="1">SUM(C10:Q10)</f>
        <v>87667.333040240381</v>
      </c>
      <c r="S10" s="67"/>
    </row>
    <row r="11" spans="1:19" s="445" customFormat="1">
      <c r="A11" s="803" t="s">
        <v>220</v>
      </c>
      <c r="B11" s="808"/>
      <c r="C11" s="682">
        <f>huishoudens!B8</f>
        <v>41517.38585626323</v>
      </c>
      <c r="D11" s="682">
        <f>huishoudens!C8</f>
        <v>0</v>
      </c>
      <c r="E11" s="682">
        <f>huishoudens!D8</f>
        <v>115821.5481543561</v>
      </c>
      <c r="F11" s="682">
        <f>huishoudens!E8</f>
        <v>1962.2362495931227</v>
      </c>
      <c r="G11" s="682">
        <f>huishoudens!F8</f>
        <v>44569.999893197724</v>
      </c>
      <c r="H11" s="682">
        <f>huishoudens!G8</f>
        <v>0</v>
      </c>
      <c r="I11" s="682">
        <f>huishoudens!H8</f>
        <v>0</v>
      </c>
      <c r="J11" s="682">
        <f>huishoudens!I8</f>
        <v>0</v>
      </c>
      <c r="K11" s="682">
        <f>huishoudens!J8</f>
        <v>222.97618964330741</v>
      </c>
      <c r="L11" s="682">
        <f>huishoudens!K8</f>
        <v>0</v>
      </c>
      <c r="M11" s="682">
        <f>huishoudens!L8</f>
        <v>0</v>
      </c>
      <c r="N11" s="682">
        <f>huishoudens!M8</f>
        <v>0</v>
      </c>
      <c r="O11" s="682">
        <f>huishoudens!N8</f>
        <v>12907.091801563924</v>
      </c>
      <c r="P11" s="682">
        <f>huishoudens!O8</f>
        <v>301.56164934682886</v>
      </c>
      <c r="Q11" s="683">
        <f>huishoudens!P8</f>
        <v>516.16400607656612</v>
      </c>
      <c r="R11" s="685">
        <f>SUM(C11:Q11)</f>
        <v>217818.96380004083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16925.717961317561</v>
      </c>
      <c r="D13" s="682">
        <f>industrie!C18</f>
        <v>0</v>
      </c>
      <c r="E13" s="682">
        <f>industrie!D18</f>
        <v>20717.62457749826</v>
      </c>
      <c r="F13" s="682">
        <f>industrie!E18</f>
        <v>83.758932271303081</v>
      </c>
      <c r="G13" s="682">
        <f>industrie!F18</f>
        <v>2006.8835856620497</v>
      </c>
      <c r="H13" s="682">
        <f>industrie!G18</f>
        <v>0</v>
      </c>
      <c r="I13" s="682">
        <f>industrie!H18</f>
        <v>0</v>
      </c>
      <c r="J13" s="682">
        <f>industrie!I18</f>
        <v>0</v>
      </c>
      <c r="K13" s="682">
        <f>industrie!J18</f>
        <v>9.5651419590553832</v>
      </c>
      <c r="L13" s="682">
        <f>industrie!K18</f>
        <v>0</v>
      </c>
      <c r="M13" s="682">
        <f>industrie!L18</f>
        <v>0</v>
      </c>
      <c r="N13" s="682">
        <f>industrie!M18</f>
        <v>0</v>
      </c>
      <c r="O13" s="682">
        <f>industrie!N18</f>
        <v>345.93612378563114</v>
      </c>
      <c r="P13" s="682">
        <f>industrie!O18</f>
        <v>0</v>
      </c>
      <c r="Q13" s="683">
        <f>industrie!P18</f>
        <v>0</v>
      </c>
      <c r="R13" s="685">
        <f>SUM(C13:Q13)</f>
        <v>40089.48632249386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97129.310269316193</v>
      </c>
      <c r="D16" s="718">
        <f t="shared" ref="D16:R16" ca="1" si="0">SUM(D9:D15)</f>
        <v>0</v>
      </c>
      <c r="E16" s="718">
        <f t="shared" ca="1" si="0"/>
        <v>178790.25249011233</v>
      </c>
      <c r="F16" s="718">
        <f t="shared" si="0"/>
        <v>2146.6713447630591</v>
      </c>
      <c r="G16" s="718">
        <f t="shared" ca="1" si="0"/>
        <v>51799.521800893257</v>
      </c>
      <c r="H16" s="718">
        <f t="shared" si="0"/>
        <v>0</v>
      </c>
      <c r="I16" s="718">
        <f t="shared" si="0"/>
        <v>0</v>
      </c>
      <c r="J16" s="718">
        <f t="shared" si="0"/>
        <v>0</v>
      </c>
      <c r="K16" s="718">
        <f t="shared" si="0"/>
        <v>232.57656335987934</v>
      </c>
      <c r="L16" s="718">
        <f t="shared" si="0"/>
        <v>0</v>
      </c>
      <c r="M16" s="718">
        <f t="shared" ca="1" si="0"/>
        <v>0</v>
      </c>
      <c r="N16" s="718">
        <f t="shared" si="0"/>
        <v>0</v>
      </c>
      <c r="O16" s="718">
        <f t="shared" ca="1" si="0"/>
        <v>14549.749501528166</v>
      </c>
      <c r="P16" s="718">
        <f t="shared" si="0"/>
        <v>306.45891011267003</v>
      </c>
      <c r="Q16" s="718">
        <f t="shared" si="0"/>
        <v>621.24228268955619</v>
      </c>
      <c r="R16" s="718">
        <f t="shared" ca="1" si="0"/>
        <v>345575.7831627751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35.371494826846032</v>
      </c>
      <c r="D19" s="682">
        <f>transport!C54</f>
        <v>0</v>
      </c>
      <c r="E19" s="682">
        <f>transport!D54</f>
        <v>0</v>
      </c>
      <c r="F19" s="682">
        <f>transport!E54</f>
        <v>0</v>
      </c>
      <c r="G19" s="682">
        <f>transport!F54</f>
        <v>0</v>
      </c>
      <c r="H19" s="682">
        <f>transport!G54</f>
        <v>2524.7535343592799</v>
      </c>
      <c r="I19" s="682">
        <f>transport!H54</f>
        <v>0</v>
      </c>
      <c r="J19" s="682">
        <f>transport!I54</f>
        <v>0</v>
      </c>
      <c r="K19" s="682">
        <f>transport!J54</f>
        <v>0</v>
      </c>
      <c r="L19" s="682">
        <f>transport!K54</f>
        <v>0</v>
      </c>
      <c r="M19" s="682">
        <f>transport!L54</f>
        <v>0</v>
      </c>
      <c r="N19" s="682">
        <f>transport!M54</f>
        <v>139.41333997889345</v>
      </c>
      <c r="O19" s="682">
        <f>transport!N54</f>
        <v>0</v>
      </c>
      <c r="P19" s="682">
        <f>transport!O54</f>
        <v>0</v>
      </c>
      <c r="Q19" s="683">
        <f>transport!P54</f>
        <v>0</v>
      </c>
      <c r="R19" s="685">
        <f>SUM(C19:Q19)</f>
        <v>2699.5383691650195</v>
      </c>
      <c r="S19" s="67"/>
    </row>
    <row r="20" spans="1:19" s="445" customFormat="1">
      <c r="A20" s="803" t="s">
        <v>302</v>
      </c>
      <c r="B20" s="808"/>
      <c r="C20" s="682">
        <f>transport!B14</f>
        <v>509.06374555286595</v>
      </c>
      <c r="D20" s="682">
        <f>transport!C14</f>
        <v>0</v>
      </c>
      <c r="E20" s="682">
        <f>transport!D14</f>
        <v>889.94690739927319</v>
      </c>
      <c r="F20" s="682">
        <f>transport!E14</f>
        <v>534.59333794907798</v>
      </c>
      <c r="G20" s="682">
        <f>transport!F14</f>
        <v>0</v>
      </c>
      <c r="H20" s="682">
        <f>transport!G14</f>
        <v>195832.73111887166</v>
      </c>
      <c r="I20" s="682">
        <f>transport!H14</f>
        <v>55095.943446865414</v>
      </c>
      <c r="J20" s="682">
        <f>transport!I14</f>
        <v>0</v>
      </c>
      <c r="K20" s="682">
        <f>transport!J14</f>
        <v>0</v>
      </c>
      <c r="L20" s="682">
        <f>transport!K14</f>
        <v>0</v>
      </c>
      <c r="M20" s="682">
        <f>transport!L14</f>
        <v>0</v>
      </c>
      <c r="N20" s="682">
        <f>transport!M14</f>
        <v>14855.745457086356</v>
      </c>
      <c r="O20" s="682">
        <f>transport!N14</f>
        <v>0</v>
      </c>
      <c r="P20" s="682">
        <f>transport!O14</f>
        <v>0</v>
      </c>
      <c r="Q20" s="683">
        <f>transport!P14</f>
        <v>0</v>
      </c>
      <c r="R20" s="685">
        <f>SUM(C20:Q20)</f>
        <v>267718.02401372464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544.43524037971201</v>
      </c>
      <c r="D22" s="806">
        <f t="shared" ref="D22:R22" si="1">SUM(D18:D21)</f>
        <v>0</v>
      </c>
      <c r="E22" s="806">
        <f t="shared" si="1"/>
        <v>889.94690739927319</v>
      </c>
      <c r="F22" s="806">
        <f t="shared" si="1"/>
        <v>534.59333794907798</v>
      </c>
      <c r="G22" s="806">
        <f t="shared" si="1"/>
        <v>0</v>
      </c>
      <c r="H22" s="806">
        <f t="shared" si="1"/>
        <v>198357.48465323093</v>
      </c>
      <c r="I22" s="806">
        <f t="shared" si="1"/>
        <v>55095.943446865414</v>
      </c>
      <c r="J22" s="806">
        <f t="shared" si="1"/>
        <v>0</v>
      </c>
      <c r="K22" s="806">
        <f t="shared" si="1"/>
        <v>0</v>
      </c>
      <c r="L22" s="806">
        <f t="shared" si="1"/>
        <v>0</v>
      </c>
      <c r="M22" s="806">
        <f t="shared" si="1"/>
        <v>0</v>
      </c>
      <c r="N22" s="806">
        <f t="shared" si="1"/>
        <v>14995.158797065249</v>
      </c>
      <c r="O22" s="806">
        <f t="shared" si="1"/>
        <v>0</v>
      </c>
      <c r="P22" s="806">
        <f t="shared" si="1"/>
        <v>0</v>
      </c>
      <c r="Q22" s="806">
        <f t="shared" si="1"/>
        <v>0</v>
      </c>
      <c r="R22" s="806">
        <f t="shared" si="1"/>
        <v>270417.56238288968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136.524721327957</v>
      </c>
      <c r="D24" s="682">
        <f>+landbouw!C8</f>
        <v>0</v>
      </c>
      <c r="E24" s="682">
        <f>+landbouw!D8</f>
        <v>108.32303519502787</v>
      </c>
      <c r="F24" s="682">
        <f>+landbouw!E8</f>
        <v>5.091424457652284</v>
      </c>
      <c r="G24" s="682">
        <f>+landbouw!F8</f>
        <v>442.93895121682101</v>
      </c>
      <c r="H24" s="682">
        <f>+landbouw!G8</f>
        <v>0</v>
      </c>
      <c r="I24" s="682">
        <f>+landbouw!H8</f>
        <v>0</v>
      </c>
      <c r="J24" s="682">
        <f>+landbouw!I8</f>
        <v>0</v>
      </c>
      <c r="K24" s="682">
        <f>+landbouw!J8</f>
        <v>35.838413358459341</v>
      </c>
      <c r="L24" s="682">
        <f>+landbouw!K8</f>
        <v>0</v>
      </c>
      <c r="M24" s="682">
        <f>+landbouw!L8</f>
        <v>0</v>
      </c>
      <c r="N24" s="682">
        <f>+landbouw!M8</f>
        <v>0</v>
      </c>
      <c r="O24" s="682">
        <f>+landbouw!N8</f>
        <v>0</v>
      </c>
      <c r="P24" s="682">
        <f>+landbouw!O8</f>
        <v>0</v>
      </c>
      <c r="Q24" s="683">
        <f>+landbouw!P8</f>
        <v>0</v>
      </c>
      <c r="R24" s="685">
        <f>SUM(C24:Q24)</f>
        <v>728.71654555591749</v>
      </c>
      <c r="S24" s="67"/>
    </row>
    <row r="25" spans="1:19" s="445" customFormat="1" ht="15" thickBot="1">
      <c r="A25" s="825" t="s">
        <v>703</v>
      </c>
      <c r="B25" s="938"/>
      <c r="C25" s="939">
        <f>IF(Onbekend_ele_kWh="---",0,Onbekend_ele_kWh)/1000+IF(REST_rest_ele_kWh="---",0,REST_rest_ele_kWh)/1000</f>
        <v>1243.1282362080601</v>
      </c>
      <c r="D25" s="939"/>
      <c r="E25" s="939">
        <f>IF(onbekend_gas_kWh="---",0,onbekend_gas_kWh)/1000+IF(REST_rest_gas_kWh="---",0,REST_rest_gas_kWh)/1000</f>
        <v>3277.2560036617401</v>
      </c>
      <c r="F25" s="939"/>
      <c r="G25" s="939"/>
      <c r="H25" s="939"/>
      <c r="I25" s="939"/>
      <c r="J25" s="939"/>
      <c r="K25" s="939"/>
      <c r="L25" s="939"/>
      <c r="M25" s="939"/>
      <c r="N25" s="939"/>
      <c r="O25" s="939"/>
      <c r="P25" s="939"/>
      <c r="Q25" s="940"/>
      <c r="R25" s="685">
        <f>SUM(C25:Q25)</f>
        <v>4520.3842398697998</v>
      </c>
      <c r="S25" s="67"/>
    </row>
    <row r="26" spans="1:19" s="445" customFormat="1" ht="15.75" thickBot="1">
      <c r="A26" s="690" t="s">
        <v>704</v>
      </c>
      <c r="B26" s="811"/>
      <c r="C26" s="806">
        <f>SUM(C24:C25)</f>
        <v>1379.6529575360171</v>
      </c>
      <c r="D26" s="806">
        <f t="shared" ref="D26:R26" si="2">SUM(D24:D25)</f>
        <v>0</v>
      </c>
      <c r="E26" s="806">
        <f t="shared" si="2"/>
        <v>3385.579038856768</v>
      </c>
      <c r="F26" s="806">
        <f t="shared" si="2"/>
        <v>5.091424457652284</v>
      </c>
      <c r="G26" s="806">
        <f t="shared" si="2"/>
        <v>442.93895121682101</v>
      </c>
      <c r="H26" s="806">
        <f t="shared" si="2"/>
        <v>0</v>
      </c>
      <c r="I26" s="806">
        <f t="shared" si="2"/>
        <v>0</v>
      </c>
      <c r="J26" s="806">
        <f t="shared" si="2"/>
        <v>0</v>
      </c>
      <c r="K26" s="806">
        <f t="shared" si="2"/>
        <v>35.838413358459341</v>
      </c>
      <c r="L26" s="806">
        <f t="shared" si="2"/>
        <v>0</v>
      </c>
      <c r="M26" s="806">
        <f t="shared" si="2"/>
        <v>0</v>
      </c>
      <c r="N26" s="806">
        <f t="shared" si="2"/>
        <v>0</v>
      </c>
      <c r="O26" s="806">
        <f t="shared" si="2"/>
        <v>0</v>
      </c>
      <c r="P26" s="806">
        <f t="shared" si="2"/>
        <v>0</v>
      </c>
      <c r="Q26" s="806">
        <f t="shared" si="2"/>
        <v>0</v>
      </c>
      <c r="R26" s="806">
        <f t="shared" si="2"/>
        <v>5249.1007854257168</v>
      </c>
      <c r="S26" s="67"/>
    </row>
    <row r="27" spans="1:19" s="445" customFormat="1" ht="17.25" thickTop="1" thickBot="1">
      <c r="A27" s="691" t="s">
        <v>115</v>
      </c>
      <c r="B27" s="798"/>
      <c r="C27" s="692">
        <f ca="1">C22+C16+C26</f>
        <v>99053.39846723192</v>
      </c>
      <c r="D27" s="692">
        <f t="shared" ref="D27:R27" ca="1" si="3">D22+D16+D26</f>
        <v>0</v>
      </c>
      <c r="E27" s="692">
        <f t="shared" ca="1" si="3"/>
        <v>183065.77843636836</v>
      </c>
      <c r="F27" s="692">
        <f t="shared" si="3"/>
        <v>2686.3561071697895</v>
      </c>
      <c r="G27" s="692">
        <f t="shared" ca="1" si="3"/>
        <v>52242.460752110077</v>
      </c>
      <c r="H27" s="692">
        <f t="shared" si="3"/>
        <v>198357.48465323093</v>
      </c>
      <c r="I27" s="692">
        <f t="shared" si="3"/>
        <v>55095.943446865414</v>
      </c>
      <c r="J27" s="692">
        <f t="shared" si="3"/>
        <v>0</v>
      </c>
      <c r="K27" s="692">
        <f t="shared" si="3"/>
        <v>268.41497671833866</v>
      </c>
      <c r="L27" s="692">
        <f t="shared" si="3"/>
        <v>0</v>
      </c>
      <c r="M27" s="692">
        <f t="shared" ca="1" si="3"/>
        <v>0</v>
      </c>
      <c r="N27" s="692">
        <f t="shared" si="3"/>
        <v>14995.158797065249</v>
      </c>
      <c r="O27" s="692">
        <f t="shared" ca="1" si="3"/>
        <v>14549.749501528166</v>
      </c>
      <c r="P27" s="692">
        <f t="shared" si="3"/>
        <v>306.45891011267003</v>
      </c>
      <c r="Q27" s="692">
        <f t="shared" si="3"/>
        <v>621.24228268955619</v>
      </c>
      <c r="R27" s="692">
        <f t="shared" ca="1" si="3"/>
        <v>621242.44633109053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7213.0691648000466</v>
      </c>
      <c r="D40" s="682">
        <f ca="1">tertiair!C20</f>
        <v>0</v>
      </c>
      <c r="E40" s="682">
        <f ca="1">tertiair!D20</f>
        <v>8534.7181111681057</v>
      </c>
      <c r="F40" s="682">
        <f>tertiair!E20</f>
        <v>22.85348897798983</v>
      </c>
      <c r="G40" s="682">
        <f ca="1">tertiair!F20</f>
        <v>1394.4444319829397</v>
      </c>
      <c r="H40" s="682">
        <f>tertiair!G20</f>
        <v>0</v>
      </c>
      <c r="I40" s="682">
        <f>tertiair!H20</f>
        <v>0</v>
      </c>
      <c r="J40" s="682">
        <f>tertiair!I20</f>
        <v>0</v>
      </c>
      <c r="K40" s="682">
        <f>tertiair!J20</f>
        <v>1.2472042160863278E-2</v>
      </c>
      <c r="L40" s="682">
        <f>tertiair!K20</f>
        <v>0</v>
      </c>
      <c r="M40" s="682">
        <f ca="1">tertiair!L20</f>
        <v>0</v>
      </c>
      <c r="N40" s="682">
        <f>tertiair!M20</f>
        <v>0</v>
      </c>
      <c r="O40" s="682">
        <f ca="1">tertiair!N20</f>
        <v>0</v>
      </c>
      <c r="P40" s="682">
        <f>tertiair!O20</f>
        <v>0</v>
      </c>
      <c r="Q40" s="765">
        <f>tertiair!P20</f>
        <v>0</v>
      </c>
      <c r="R40" s="844">
        <f t="shared" ca="1" si="4"/>
        <v>17165.097668971241</v>
      </c>
    </row>
    <row r="41" spans="1:18">
      <c r="A41" s="816" t="s">
        <v>220</v>
      </c>
      <c r="B41" s="823"/>
      <c r="C41" s="682">
        <f ca="1">huishoudens!B12</f>
        <v>7740.9444654784547</v>
      </c>
      <c r="D41" s="682">
        <f ca="1">huishoudens!C12</f>
        <v>0</v>
      </c>
      <c r="E41" s="682">
        <f>huishoudens!D12</f>
        <v>23395.952727179934</v>
      </c>
      <c r="F41" s="682">
        <f>huishoudens!E12</f>
        <v>445.42762865763888</v>
      </c>
      <c r="G41" s="682">
        <f>huishoudens!F12</f>
        <v>11900.189971483793</v>
      </c>
      <c r="H41" s="682">
        <f>huishoudens!G12</f>
        <v>0</v>
      </c>
      <c r="I41" s="682">
        <f>huishoudens!H12</f>
        <v>0</v>
      </c>
      <c r="J41" s="682">
        <f>huishoudens!I12</f>
        <v>0</v>
      </c>
      <c r="K41" s="682">
        <f>huishoudens!J12</f>
        <v>78.933571133730823</v>
      </c>
      <c r="L41" s="682">
        <f>huishoudens!K12</f>
        <v>0</v>
      </c>
      <c r="M41" s="682">
        <f>huishoudens!L12</f>
        <v>0</v>
      </c>
      <c r="N41" s="682">
        <f>huishoudens!M12</f>
        <v>0</v>
      </c>
      <c r="O41" s="682">
        <f>huishoudens!N12</f>
        <v>0</v>
      </c>
      <c r="P41" s="682">
        <f>huishoudens!O12</f>
        <v>0</v>
      </c>
      <c r="Q41" s="765">
        <f>huishoudens!P12</f>
        <v>0</v>
      </c>
      <c r="R41" s="844">
        <f t="shared" ca="1" si="4"/>
        <v>43561.448363933552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3155.8114769199724</v>
      </c>
      <c r="D43" s="682">
        <f ca="1">industrie!C22</f>
        <v>0</v>
      </c>
      <c r="E43" s="682">
        <f>industrie!D22</f>
        <v>4184.9601646546489</v>
      </c>
      <c r="F43" s="682">
        <f>industrie!E22</f>
        <v>19.0132776255858</v>
      </c>
      <c r="G43" s="682">
        <f>industrie!F22</f>
        <v>535.83791737176728</v>
      </c>
      <c r="H43" s="682">
        <f>industrie!G22</f>
        <v>0</v>
      </c>
      <c r="I43" s="682">
        <f>industrie!H22</f>
        <v>0</v>
      </c>
      <c r="J43" s="682">
        <f>industrie!I22</f>
        <v>0</v>
      </c>
      <c r="K43" s="682">
        <f>industrie!J22</f>
        <v>3.3860602535056055</v>
      </c>
      <c r="L43" s="682">
        <f>industrie!K22</f>
        <v>0</v>
      </c>
      <c r="M43" s="682">
        <f>industrie!L22</f>
        <v>0</v>
      </c>
      <c r="N43" s="682">
        <f>industrie!M22</f>
        <v>0</v>
      </c>
      <c r="O43" s="682">
        <f>industrie!N22</f>
        <v>0</v>
      </c>
      <c r="P43" s="682">
        <f>industrie!O22</f>
        <v>0</v>
      </c>
      <c r="Q43" s="765">
        <f>industrie!P22</f>
        <v>0</v>
      </c>
      <c r="R43" s="843">
        <f t="shared" ca="1" si="4"/>
        <v>7899.0088968254813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18109.825107198474</v>
      </c>
      <c r="D46" s="718">
        <f t="shared" ref="D46:Q46" ca="1" si="5">SUM(D39:D45)</f>
        <v>0</v>
      </c>
      <c r="E46" s="718">
        <f t="shared" ca="1" si="5"/>
        <v>36115.631003002687</v>
      </c>
      <c r="F46" s="718">
        <f t="shared" si="5"/>
        <v>487.2943952612145</v>
      </c>
      <c r="G46" s="718">
        <f t="shared" ca="1" si="5"/>
        <v>13830.4723208385</v>
      </c>
      <c r="H46" s="718">
        <f t="shared" si="5"/>
        <v>0</v>
      </c>
      <c r="I46" s="718">
        <f t="shared" si="5"/>
        <v>0</v>
      </c>
      <c r="J46" s="718">
        <f t="shared" si="5"/>
        <v>0</v>
      </c>
      <c r="K46" s="718">
        <f t="shared" si="5"/>
        <v>82.332103429397293</v>
      </c>
      <c r="L46" s="718">
        <f t="shared" si="5"/>
        <v>0</v>
      </c>
      <c r="M46" s="718">
        <f t="shared" ca="1" si="5"/>
        <v>0</v>
      </c>
      <c r="N46" s="718">
        <f t="shared" si="5"/>
        <v>0</v>
      </c>
      <c r="O46" s="718">
        <f t="shared" ca="1" si="5"/>
        <v>0</v>
      </c>
      <c r="P46" s="718">
        <f t="shared" si="5"/>
        <v>0</v>
      </c>
      <c r="Q46" s="718">
        <f t="shared" si="5"/>
        <v>0</v>
      </c>
      <c r="R46" s="718">
        <f ca="1">SUM(R39:R45)</f>
        <v>68625.554929730279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6.5950389570172643</v>
      </c>
      <c r="D49" s="682">
        <f ca="1">transport!C58</f>
        <v>0</v>
      </c>
      <c r="E49" s="682">
        <f>transport!D58</f>
        <v>0</v>
      </c>
      <c r="F49" s="682">
        <f>transport!E58</f>
        <v>0</v>
      </c>
      <c r="G49" s="682">
        <f>transport!F58</f>
        <v>0</v>
      </c>
      <c r="H49" s="682">
        <f>transport!G58</f>
        <v>674.10919367392773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680.70423263094494</v>
      </c>
    </row>
    <row r="50" spans="1:18">
      <c r="A50" s="819" t="s">
        <v>302</v>
      </c>
      <c r="B50" s="829"/>
      <c r="C50" s="688">
        <f ca="1">transport!B18</f>
        <v>94.915277116820533</v>
      </c>
      <c r="D50" s="688">
        <f>transport!C18</f>
        <v>0</v>
      </c>
      <c r="E50" s="688">
        <f>transport!D18</f>
        <v>179.7692752946532</v>
      </c>
      <c r="F50" s="688">
        <f>transport!E18</f>
        <v>121.35268771444071</v>
      </c>
      <c r="G50" s="688">
        <f>transport!F18</f>
        <v>0</v>
      </c>
      <c r="H50" s="688">
        <f>transport!G18</f>
        <v>52287.339208738733</v>
      </c>
      <c r="I50" s="688">
        <f>transport!H18</f>
        <v>13718.889918269488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66402.266367134143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101.5103160738378</v>
      </c>
      <c r="D52" s="718">
        <f t="shared" ref="D52:Q52" ca="1" si="6">SUM(D48:D51)</f>
        <v>0</v>
      </c>
      <c r="E52" s="718">
        <f t="shared" si="6"/>
        <v>179.7692752946532</v>
      </c>
      <c r="F52" s="718">
        <f t="shared" si="6"/>
        <v>121.35268771444071</v>
      </c>
      <c r="G52" s="718">
        <f t="shared" si="6"/>
        <v>0</v>
      </c>
      <c r="H52" s="718">
        <f t="shared" si="6"/>
        <v>52961.448402412658</v>
      </c>
      <c r="I52" s="718">
        <f t="shared" si="6"/>
        <v>13718.889918269488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67082.970599765089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25.455125947078521</v>
      </c>
      <c r="D54" s="688">
        <f ca="1">+landbouw!C12</f>
        <v>0</v>
      </c>
      <c r="E54" s="688">
        <f>+landbouw!D12</f>
        <v>21.88125310939563</v>
      </c>
      <c r="F54" s="688">
        <f>+landbouw!E12</f>
        <v>1.1557533518870684</v>
      </c>
      <c r="G54" s="688">
        <f>+landbouw!F12</f>
        <v>118.26469997489122</v>
      </c>
      <c r="H54" s="688">
        <f>+landbouw!G12</f>
        <v>0</v>
      </c>
      <c r="I54" s="688">
        <f>+landbouw!H12</f>
        <v>0</v>
      </c>
      <c r="J54" s="688">
        <f>+landbouw!I12</f>
        <v>0</v>
      </c>
      <c r="K54" s="688">
        <f>+landbouw!J12</f>
        <v>12.686798328894605</v>
      </c>
      <c r="L54" s="688">
        <f>+landbouw!K12</f>
        <v>0</v>
      </c>
      <c r="M54" s="688">
        <f>+landbouw!L12</f>
        <v>0</v>
      </c>
      <c r="N54" s="688">
        <f>+landbouw!M12</f>
        <v>0</v>
      </c>
      <c r="O54" s="688">
        <f>+landbouw!N12</f>
        <v>0</v>
      </c>
      <c r="P54" s="688">
        <f>+landbouw!O12</f>
        <v>0</v>
      </c>
      <c r="Q54" s="689">
        <f>+landbouw!P12</f>
        <v>0</v>
      </c>
      <c r="R54" s="717">
        <f ca="1">SUM(C54:Q54)</f>
        <v>179.44363071214704</v>
      </c>
    </row>
    <row r="55" spans="1:18" ht="15" thickBot="1">
      <c r="A55" s="819" t="s">
        <v>703</v>
      </c>
      <c r="B55" s="829"/>
      <c r="C55" s="688">
        <f ca="1">C25*'EF ele_warmte'!B12</f>
        <v>231.78209421157646</v>
      </c>
      <c r="D55" s="688"/>
      <c r="E55" s="688">
        <f>E25*EF_CO2_aardgas</f>
        <v>662.00571273967159</v>
      </c>
      <c r="F55" s="688"/>
      <c r="G55" s="688"/>
      <c r="H55" s="688"/>
      <c r="I55" s="688"/>
      <c r="J55" s="688"/>
      <c r="K55" s="688"/>
      <c r="L55" s="688"/>
      <c r="M55" s="688"/>
      <c r="N55" s="688"/>
      <c r="O55" s="688"/>
      <c r="P55" s="688"/>
      <c r="Q55" s="689"/>
      <c r="R55" s="717">
        <f ca="1">SUM(C55:Q55)</f>
        <v>893.78780695124806</v>
      </c>
    </row>
    <row r="56" spans="1:18" ht="15.75" thickBot="1">
      <c r="A56" s="817" t="s">
        <v>704</v>
      </c>
      <c r="B56" s="830"/>
      <c r="C56" s="718">
        <f ca="1">SUM(C54:C55)</f>
        <v>257.23722015865496</v>
      </c>
      <c r="D56" s="718">
        <f t="shared" ref="D56:Q56" ca="1" si="7">SUM(D54:D55)</f>
        <v>0</v>
      </c>
      <c r="E56" s="718">
        <f t="shared" si="7"/>
        <v>683.88696584906722</v>
      </c>
      <c r="F56" s="718">
        <f t="shared" si="7"/>
        <v>1.1557533518870684</v>
      </c>
      <c r="G56" s="718">
        <f t="shared" si="7"/>
        <v>118.26469997489122</v>
      </c>
      <c r="H56" s="718">
        <f t="shared" si="7"/>
        <v>0</v>
      </c>
      <c r="I56" s="718">
        <f t="shared" si="7"/>
        <v>0</v>
      </c>
      <c r="J56" s="718">
        <f t="shared" si="7"/>
        <v>0</v>
      </c>
      <c r="K56" s="718">
        <f t="shared" si="7"/>
        <v>12.686798328894605</v>
      </c>
      <c r="L56" s="718">
        <f t="shared" si="7"/>
        <v>0</v>
      </c>
      <c r="M56" s="718">
        <f t="shared" si="7"/>
        <v>0</v>
      </c>
      <c r="N56" s="718">
        <f t="shared" si="7"/>
        <v>0</v>
      </c>
      <c r="O56" s="718">
        <f t="shared" si="7"/>
        <v>0</v>
      </c>
      <c r="P56" s="718">
        <f t="shared" si="7"/>
        <v>0</v>
      </c>
      <c r="Q56" s="719">
        <f t="shared" si="7"/>
        <v>0</v>
      </c>
      <c r="R56" s="720">
        <f ca="1">SUM(R54:R55)</f>
        <v>1073.2314376633951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18468.572643430965</v>
      </c>
      <c r="D61" s="726">
        <f t="shared" ref="D61:Q61" ca="1" si="8">D46+D52+D56</f>
        <v>0</v>
      </c>
      <c r="E61" s="726">
        <f t="shared" ca="1" si="8"/>
        <v>36979.287244146406</v>
      </c>
      <c r="F61" s="726">
        <f t="shared" si="8"/>
        <v>609.8028363275422</v>
      </c>
      <c r="G61" s="726">
        <f t="shared" ca="1" si="8"/>
        <v>13948.737020813391</v>
      </c>
      <c r="H61" s="726">
        <f t="shared" si="8"/>
        <v>52961.448402412658</v>
      </c>
      <c r="I61" s="726">
        <f t="shared" si="8"/>
        <v>13718.889918269488</v>
      </c>
      <c r="J61" s="726">
        <f t="shared" si="8"/>
        <v>0</v>
      </c>
      <c r="K61" s="726">
        <f t="shared" si="8"/>
        <v>95.018901758291904</v>
      </c>
      <c r="L61" s="726">
        <f t="shared" si="8"/>
        <v>0</v>
      </c>
      <c r="M61" s="726">
        <f t="shared" ca="1" si="8"/>
        <v>0</v>
      </c>
      <c r="N61" s="726">
        <f t="shared" si="8"/>
        <v>0</v>
      </c>
      <c r="O61" s="726">
        <f t="shared" ca="1" si="8"/>
        <v>0</v>
      </c>
      <c r="P61" s="726">
        <f t="shared" si="8"/>
        <v>0</v>
      </c>
      <c r="Q61" s="726">
        <f t="shared" si="8"/>
        <v>0</v>
      </c>
      <c r="R61" s="726">
        <f ca="1">R46+R52+R56</f>
        <v>136781.75696715878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0.18645067134713803</v>
      </c>
      <c r="D63" s="772">
        <f t="shared" ca="1" si="9"/>
        <v>0</v>
      </c>
      <c r="E63" s="964">
        <f t="shared" ca="1" si="9"/>
        <v>0.20199999999999999</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7460.2904525203412</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8024.9060082366077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15485.19646075695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41517.38585626323</v>
      </c>
      <c r="C4" s="449">
        <f>huishoudens!C8</f>
        <v>0</v>
      </c>
      <c r="D4" s="449">
        <f>huishoudens!D8</f>
        <v>115821.5481543561</v>
      </c>
      <c r="E4" s="449">
        <f>huishoudens!E8</f>
        <v>1962.2362495931227</v>
      </c>
      <c r="F4" s="449">
        <f>huishoudens!F8</f>
        <v>44569.999893197724</v>
      </c>
      <c r="G4" s="449">
        <f>huishoudens!G8</f>
        <v>0</v>
      </c>
      <c r="H4" s="449">
        <f>huishoudens!H8</f>
        <v>0</v>
      </c>
      <c r="I4" s="449">
        <f>huishoudens!I8</f>
        <v>0</v>
      </c>
      <c r="J4" s="449">
        <f>huishoudens!J8</f>
        <v>222.97618964330741</v>
      </c>
      <c r="K4" s="449">
        <f>huishoudens!K8</f>
        <v>0</v>
      </c>
      <c r="L4" s="449">
        <f>huishoudens!L8</f>
        <v>0</v>
      </c>
      <c r="M4" s="449">
        <f>huishoudens!M8</f>
        <v>0</v>
      </c>
      <c r="N4" s="449">
        <f>huishoudens!N8</f>
        <v>12907.091801563924</v>
      </c>
      <c r="O4" s="449">
        <f>huishoudens!O8</f>
        <v>301.56164934682886</v>
      </c>
      <c r="P4" s="450">
        <f>huishoudens!P8</f>
        <v>516.16400607656612</v>
      </c>
      <c r="Q4" s="451">
        <f>SUM(B4:P4)</f>
        <v>217818.96380004083</v>
      </c>
    </row>
    <row r="5" spans="1:17">
      <c r="A5" s="448" t="s">
        <v>155</v>
      </c>
      <c r="B5" s="449">
        <f ca="1">tertiair!B16</f>
        <v>36752.652451735383</v>
      </c>
      <c r="C5" s="449">
        <f ca="1">tertiair!C16</f>
        <v>0</v>
      </c>
      <c r="D5" s="449">
        <f ca="1">tertiair!D16</f>
        <v>42251.079758257947</v>
      </c>
      <c r="E5" s="449">
        <f>tertiair!E16</f>
        <v>100.67616289863361</v>
      </c>
      <c r="F5" s="449">
        <f ca="1">tertiair!F16</f>
        <v>5222.6383220334819</v>
      </c>
      <c r="G5" s="449">
        <f>tertiair!G16</f>
        <v>0</v>
      </c>
      <c r="H5" s="449">
        <f>tertiair!H16</f>
        <v>0</v>
      </c>
      <c r="I5" s="449">
        <f>tertiair!I16</f>
        <v>0</v>
      </c>
      <c r="J5" s="449">
        <f>tertiair!J16</f>
        <v>3.5231757516562934E-2</v>
      </c>
      <c r="K5" s="449">
        <f>tertiair!K16</f>
        <v>0</v>
      </c>
      <c r="L5" s="449">
        <f ca="1">tertiair!L16</f>
        <v>0</v>
      </c>
      <c r="M5" s="449">
        <f>tertiair!M16</f>
        <v>0</v>
      </c>
      <c r="N5" s="449">
        <f ca="1">tertiair!N16</f>
        <v>1296.7215761786094</v>
      </c>
      <c r="O5" s="449">
        <f>tertiair!O16</f>
        <v>4.8972607658411542</v>
      </c>
      <c r="P5" s="450">
        <f>tertiair!P16</f>
        <v>105.07827661299004</v>
      </c>
      <c r="Q5" s="448">
        <f t="shared" ref="Q5:Q14" ca="1" si="0">SUM(B5:P5)</f>
        <v>85733.779040240377</v>
      </c>
    </row>
    <row r="6" spans="1:17">
      <c r="A6" s="448" t="s">
        <v>193</v>
      </c>
      <c r="B6" s="449">
        <f>'openbare verlichting'!B8</f>
        <v>1933.5540000000001</v>
      </c>
      <c r="C6" s="449"/>
      <c r="D6" s="449"/>
      <c r="E6" s="449"/>
      <c r="F6" s="449"/>
      <c r="G6" s="449"/>
      <c r="H6" s="449"/>
      <c r="I6" s="449"/>
      <c r="J6" s="449"/>
      <c r="K6" s="449"/>
      <c r="L6" s="449"/>
      <c r="M6" s="449"/>
      <c r="N6" s="449"/>
      <c r="O6" s="449"/>
      <c r="P6" s="450"/>
      <c r="Q6" s="448">
        <f t="shared" si="0"/>
        <v>1933.5540000000001</v>
      </c>
    </row>
    <row r="7" spans="1:17">
      <c r="A7" s="448" t="s">
        <v>111</v>
      </c>
      <c r="B7" s="449">
        <f>landbouw!B8</f>
        <v>136.524721327957</v>
      </c>
      <c r="C7" s="449">
        <f>landbouw!C8</f>
        <v>0</v>
      </c>
      <c r="D7" s="449">
        <f>landbouw!D8</f>
        <v>108.32303519502787</v>
      </c>
      <c r="E7" s="449">
        <f>landbouw!E8</f>
        <v>5.091424457652284</v>
      </c>
      <c r="F7" s="449">
        <f>landbouw!F8</f>
        <v>442.93895121682101</v>
      </c>
      <c r="G7" s="449">
        <f>landbouw!G8</f>
        <v>0</v>
      </c>
      <c r="H7" s="449">
        <f>landbouw!H8</f>
        <v>0</v>
      </c>
      <c r="I7" s="449">
        <f>landbouw!I8</f>
        <v>0</v>
      </c>
      <c r="J7" s="449">
        <f>landbouw!J8</f>
        <v>35.838413358459341</v>
      </c>
      <c r="K7" s="449">
        <f>landbouw!K8</f>
        <v>0</v>
      </c>
      <c r="L7" s="449">
        <f>landbouw!L8</f>
        <v>0</v>
      </c>
      <c r="M7" s="449">
        <f>landbouw!M8</f>
        <v>0</v>
      </c>
      <c r="N7" s="449">
        <f>landbouw!N8</f>
        <v>0</v>
      </c>
      <c r="O7" s="449">
        <f>landbouw!O8</f>
        <v>0</v>
      </c>
      <c r="P7" s="450">
        <f>landbouw!P8</f>
        <v>0</v>
      </c>
      <c r="Q7" s="448">
        <f t="shared" si="0"/>
        <v>728.71654555591749</v>
      </c>
    </row>
    <row r="8" spans="1:17">
      <c r="A8" s="448" t="s">
        <v>618</v>
      </c>
      <c r="B8" s="449">
        <f>industrie!B18</f>
        <v>16925.717961317561</v>
      </c>
      <c r="C8" s="449">
        <f>industrie!C18</f>
        <v>0</v>
      </c>
      <c r="D8" s="449">
        <f>industrie!D18</f>
        <v>20717.62457749826</v>
      </c>
      <c r="E8" s="449">
        <f>industrie!E18</f>
        <v>83.758932271303081</v>
      </c>
      <c r="F8" s="449">
        <f>industrie!F18</f>
        <v>2006.8835856620497</v>
      </c>
      <c r="G8" s="449">
        <f>industrie!G18</f>
        <v>0</v>
      </c>
      <c r="H8" s="449">
        <f>industrie!H18</f>
        <v>0</v>
      </c>
      <c r="I8" s="449">
        <f>industrie!I18</f>
        <v>0</v>
      </c>
      <c r="J8" s="449">
        <f>industrie!J18</f>
        <v>9.5651419590553832</v>
      </c>
      <c r="K8" s="449">
        <f>industrie!K18</f>
        <v>0</v>
      </c>
      <c r="L8" s="449">
        <f>industrie!L18</f>
        <v>0</v>
      </c>
      <c r="M8" s="449">
        <f>industrie!M18</f>
        <v>0</v>
      </c>
      <c r="N8" s="449">
        <f>industrie!N18</f>
        <v>345.93612378563114</v>
      </c>
      <c r="O8" s="449">
        <f>industrie!O18</f>
        <v>0</v>
      </c>
      <c r="P8" s="450">
        <f>industrie!P18</f>
        <v>0</v>
      </c>
      <c r="Q8" s="448">
        <f t="shared" si="0"/>
        <v>40089.48632249386</v>
      </c>
    </row>
    <row r="9" spans="1:17" s="454" customFormat="1">
      <c r="A9" s="452" t="s">
        <v>544</v>
      </c>
      <c r="B9" s="453">
        <f>transport!B14</f>
        <v>509.06374555286595</v>
      </c>
      <c r="C9" s="453">
        <f>transport!C14</f>
        <v>0</v>
      </c>
      <c r="D9" s="453">
        <f>transport!D14</f>
        <v>889.94690739927319</v>
      </c>
      <c r="E9" s="453">
        <f>transport!E14</f>
        <v>534.59333794907798</v>
      </c>
      <c r="F9" s="453">
        <f>transport!F14</f>
        <v>0</v>
      </c>
      <c r="G9" s="453">
        <f>transport!G14</f>
        <v>195832.73111887166</v>
      </c>
      <c r="H9" s="453">
        <f>transport!H14</f>
        <v>55095.943446865414</v>
      </c>
      <c r="I9" s="453">
        <f>transport!I14</f>
        <v>0</v>
      </c>
      <c r="J9" s="453">
        <f>transport!J14</f>
        <v>0</v>
      </c>
      <c r="K9" s="453">
        <f>transport!K14</f>
        <v>0</v>
      </c>
      <c r="L9" s="453">
        <f>transport!L14</f>
        <v>0</v>
      </c>
      <c r="M9" s="453">
        <f>transport!M14</f>
        <v>14855.745457086356</v>
      </c>
      <c r="N9" s="453">
        <f>transport!N14</f>
        <v>0</v>
      </c>
      <c r="O9" s="453">
        <f>transport!O14</f>
        <v>0</v>
      </c>
      <c r="P9" s="453">
        <f>transport!P14</f>
        <v>0</v>
      </c>
      <c r="Q9" s="452">
        <f>SUM(B9:P9)</f>
        <v>267718.02401372464</v>
      </c>
    </row>
    <row r="10" spans="1:17">
      <c r="A10" s="448" t="s">
        <v>534</v>
      </c>
      <c r="B10" s="449">
        <f>transport!B54</f>
        <v>35.371494826846032</v>
      </c>
      <c r="C10" s="449">
        <f>transport!C54</f>
        <v>0</v>
      </c>
      <c r="D10" s="449">
        <f>transport!D54</f>
        <v>0</v>
      </c>
      <c r="E10" s="449">
        <f>transport!E54</f>
        <v>0</v>
      </c>
      <c r="F10" s="449">
        <f>transport!F54</f>
        <v>0</v>
      </c>
      <c r="G10" s="449">
        <f>transport!G54</f>
        <v>2524.7535343592799</v>
      </c>
      <c r="H10" s="449">
        <f>transport!H54</f>
        <v>0</v>
      </c>
      <c r="I10" s="449">
        <f>transport!I54</f>
        <v>0</v>
      </c>
      <c r="J10" s="449">
        <f>transport!J54</f>
        <v>0</v>
      </c>
      <c r="K10" s="449">
        <f>transport!K54</f>
        <v>0</v>
      </c>
      <c r="L10" s="449">
        <f>transport!L54</f>
        <v>0</v>
      </c>
      <c r="M10" s="449">
        <f>transport!M54</f>
        <v>139.41333997889345</v>
      </c>
      <c r="N10" s="449">
        <f>transport!N54</f>
        <v>0</v>
      </c>
      <c r="O10" s="449">
        <f>transport!O54</f>
        <v>0</v>
      </c>
      <c r="P10" s="450">
        <f>transport!P54</f>
        <v>0</v>
      </c>
      <c r="Q10" s="448">
        <f t="shared" si="0"/>
        <v>2699.5383691650195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1243.1282362080601</v>
      </c>
      <c r="C14" s="456"/>
      <c r="D14" s="456">
        <f>'SEAP template'!E25</f>
        <v>3277.2560036617401</v>
      </c>
      <c r="E14" s="456"/>
      <c r="F14" s="456"/>
      <c r="G14" s="456"/>
      <c r="H14" s="456"/>
      <c r="I14" s="456"/>
      <c r="J14" s="456"/>
      <c r="K14" s="456"/>
      <c r="L14" s="456"/>
      <c r="M14" s="456"/>
      <c r="N14" s="456"/>
      <c r="O14" s="456"/>
      <c r="P14" s="457"/>
      <c r="Q14" s="448">
        <f t="shared" si="0"/>
        <v>4520.3842398697998</v>
      </c>
    </row>
    <row r="15" spans="1:17" s="460" customFormat="1">
      <c r="A15" s="458" t="s">
        <v>538</v>
      </c>
      <c r="B15" s="459">
        <f ca="1">SUM(B4:B14)</f>
        <v>99053.398467231891</v>
      </c>
      <c r="C15" s="459">
        <f t="shared" ref="C15:Q15" ca="1" si="1">SUM(C4:C14)</f>
        <v>0</v>
      </c>
      <c r="D15" s="459">
        <f t="shared" ca="1" si="1"/>
        <v>183065.77843636839</v>
      </c>
      <c r="E15" s="459">
        <f t="shared" si="1"/>
        <v>2686.3561071697895</v>
      </c>
      <c r="F15" s="459">
        <f t="shared" ca="1" si="1"/>
        <v>52242.460752110077</v>
      </c>
      <c r="G15" s="459">
        <f t="shared" si="1"/>
        <v>198357.48465323093</v>
      </c>
      <c r="H15" s="459">
        <f t="shared" si="1"/>
        <v>55095.943446865414</v>
      </c>
      <c r="I15" s="459">
        <f t="shared" si="1"/>
        <v>0</v>
      </c>
      <c r="J15" s="459">
        <f t="shared" si="1"/>
        <v>268.41497671833866</v>
      </c>
      <c r="K15" s="459">
        <f t="shared" si="1"/>
        <v>0</v>
      </c>
      <c r="L15" s="459">
        <f t="shared" ca="1" si="1"/>
        <v>0</v>
      </c>
      <c r="M15" s="459">
        <f t="shared" si="1"/>
        <v>14995.158797065249</v>
      </c>
      <c r="N15" s="459">
        <f t="shared" ca="1" si="1"/>
        <v>14549.749501528166</v>
      </c>
      <c r="O15" s="459">
        <f t="shared" si="1"/>
        <v>306.45891011267003</v>
      </c>
      <c r="P15" s="459">
        <f t="shared" si="1"/>
        <v>621.24228268955619</v>
      </c>
      <c r="Q15" s="459">
        <f t="shared" ca="1" si="1"/>
        <v>621242.44633109041</v>
      </c>
    </row>
    <row r="17" spans="1:17">
      <c r="A17" s="461" t="s">
        <v>539</v>
      </c>
      <c r="B17" s="777">
        <f ca="1">huishoudens!B10</f>
        <v>0.18645067134713808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7740.9444654784547</v>
      </c>
      <c r="C22" s="449">
        <f t="shared" ref="C22:C32" ca="1" si="3">C4*$C$17</f>
        <v>0</v>
      </c>
      <c r="D22" s="449">
        <f t="shared" ref="D22:D32" si="4">D4*$D$17</f>
        <v>23395.952727179934</v>
      </c>
      <c r="E22" s="449">
        <f t="shared" ref="E22:E32" si="5">E4*$E$17</f>
        <v>445.42762865763888</v>
      </c>
      <c r="F22" s="449">
        <f t="shared" ref="F22:F32" si="6">F4*$F$17</f>
        <v>11900.189971483793</v>
      </c>
      <c r="G22" s="449">
        <f t="shared" ref="G22:G32" si="7">G4*$G$17</f>
        <v>0</v>
      </c>
      <c r="H22" s="449">
        <f t="shared" ref="H22:H32" si="8">H4*$H$17</f>
        <v>0</v>
      </c>
      <c r="I22" s="449">
        <f t="shared" ref="I22:I32" si="9">I4*$I$17</f>
        <v>0</v>
      </c>
      <c r="J22" s="449">
        <f t="shared" ref="J22:J32" si="10">J4*$J$17</f>
        <v>78.933571133730823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43561.448363933552</v>
      </c>
    </row>
    <row r="23" spans="1:17">
      <c r="A23" s="448" t="s">
        <v>155</v>
      </c>
      <c r="B23" s="449">
        <f t="shared" ca="1" si="2"/>
        <v>6852.5567234141026</v>
      </c>
      <c r="C23" s="449">
        <f t="shared" ca="1" si="3"/>
        <v>0</v>
      </c>
      <c r="D23" s="449">
        <f t="shared" ca="1" si="4"/>
        <v>8534.7181111681057</v>
      </c>
      <c r="E23" s="449">
        <f t="shared" si="5"/>
        <v>22.85348897798983</v>
      </c>
      <c r="F23" s="449">
        <f t="shared" ca="1" si="6"/>
        <v>1394.4444319829397</v>
      </c>
      <c r="G23" s="449">
        <f t="shared" si="7"/>
        <v>0</v>
      </c>
      <c r="H23" s="449">
        <f t="shared" si="8"/>
        <v>0</v>
      </c>
      <c r="I23" s="449">
        <f t="shared" si="9"/>
        <v>0</v>
      </c>
      <c r="J23" s="449">
        <f t="shared" si="10"/>
        <v>1.2472042160863278E-2</v>
      </c>
      <c r="K23" s="449">
        <f t="shared" si="11"/>
        <v>0</v>
      </c>
      <c r="L23" s="449">
        <f t="shared" ca="1" si="12"/>
        <v>0</v>
      </c>
      <c r="M23" s="449">
        <f t="shared" si="13"/>
        <v>0</v>
      </c>
      <c r="N23" s="449">
        <f t="shared" ca="1" si="14"/>
        <v>0</v>
      </c>
      <c r="O23" s="449">
        <f t="shared" si="15"/>
        <v>0</v>
      </c>
      <c r="P23" s="450">
        <f t="shared" si="16"/>
        <v>0</v>
      </c>
      <c r="Q23" s="448">
        <f t="shared" ref="Q23:Q31" ca="1" si="17">SUM(B23:P23)</f>
        <v>16804.585227585296</v>
      </c>
    </row>
    <row r="24" spans="1:17">
      <c r="A24" s="448" t="s">
        <v>193</v>
      </c>
      <c r="B24" s="449">
        <f t="shared" ca="1" si="2"/>
        <v>360.51244138594421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360.51244138594421</v>
      </c>
    </row>
    <row r="25" spans="1:17">
      <c r="A25" s="448" t="s">
        <v>111</v>
      </c>
      <c r="B25" s="449">
        <f t="shared" ca="1" si="2"/>
        <v>25.455125947078521</v>
      </c>
      <c r="C25" s="449">
        <f t="shared" ca="1" si="3"/>
        <v>0</v>
      </c>
      <c r="D25" s="449">
        <f t="shared" si="4"/>
        <v>21.88125310939563</v>
      </c>
      <c r="E25" s="449">
        <f t="shared" si="5"/>
        <v>1.1557533518870684</v>
      </c>
      <c r="F25" s="449">
        <f t="shared" si="6"/>
        <v>118.26469997489122</v>
      </c>
      <c r="G25" s="449">
        <f t="shared" si="7"/>
        <v>0</v>
      </c>
      <c r="H25" s="449">
        <f t="shared" si="8"/>
        <v>0</v>
      </c>
      <c r="I25" s="449">
        <f t="shared" si="9"/>
        <v>0</v>
      </c>
      <c r="J25" s="449">
        <f t="shared" si="10"/>
        <v>12.686798328894605</v>
      </c>
      <c r="K25" s="449">
        <f t="shared" si="11"/>
        <v>0</v>
      </c>
      <c r="L25" s="449">
        <f t="shared" si="12"/>
        <v>0</v>
      </c>
      <c r="M25" s="449">
        <f t="shared" si="13"/>
        <v>0</v>
      </c>
      <c r="N25" s="449">
        <f t="shared" si="14"/>
        <v>0</v>
      </c>
      <c r="O25" s="449">
        <f t="shared" si="15"/>
        <v>0</v>
      </c>
      <c r="P25" s="450">
        <f t="shared" si="16"/>
        <v>0</v>
      </c>
      <c r="Q25" s="448">
        <f t="shared" ca="1" si="17"/>
        <v>179.44363071214704</v>
      </c>
    </row>
    <row r="26" spans="1:17">
      <c r="A26" s="448" t="s">
        <v>618</v>
      </c>
      <c r="B26" s="449">
        <f t="shared" ca="1" si="2"/>
        <v>3155.8114769199724</v>
      </c>
      <c r="C26" s="449">
        <f t="shared" ca="1" si="3"/>
        <v>0</v>
      </c>
      <c r="D26" s="449">
        <f t="shared" si="4"/>
        <v>4184.9601646546489</v>
      </c>
      <c r="E26" s="449">
        <f t="shared" si="5"/>
        <v>19.0132776255858</v>
      </c>
      <c r="F26" s="449">
        <f t="shared" si="6"/>
        <v>535.83791737176728</v>
      </c>
      <c r="G26" s="449">
        <f t="shared" si="7"/>
        <v>0</v>
      </c>
      <c r="H26" s="449">
        <f t="shared" si="8"/>
        <v>0</v>
      </c>
      <c r="I26" s="449">
        <f t="shared" si="9"/>
        <v>0</v>
      </c>
      <c r="J26" s="449">
        <f t="shared" si="10"/>
        <v>3.3860602535056055</v>
      </c>
      <c r="K26" s="449">
        <f t="shared" si="11"/>
        <v>0</v>
      </c>
      <c r="L26" s="449">
        <f t="shared" si="12"/>
        <v>0</v>
      </c>
      <c r="M26" s="449">
        <f t="shared" si="13"/>
        <v>0</v>
      </c>
      <c r="N26" s="449">
        <f t="shared" si="14"/>
        <v>0</v>
      </c>
      <c r="O26" s="449">
        <f t="shared" si="15"/>
        <v>0</v>
      </c>
      <c r="P26" s="450">
        <f t="shared" si="16"/>
        <v>0</v>
      </c>
      <c r="Q26" s="448">
        <f t="shared" ca="1" si="17"/>
        <v>7899.0088968254813</v>
      </c>
    </row>
    <row r="27" spans="1:17" s="454" customFormat="1">
      <c r="A27" s="452" t="s">
        <v>544</v>
      </c>
      <c r="B27" s="771">
        <f t="shared" ca="1" si="2"/>
        <v>94.915277116820533</v>
      </c>
      <c r="C27" s="453">
        <f t="shared" ca="1" si="3"/>
        <v>0</v>
      </c>
      <c r="D27" s="453">
        <f t="shared" si="4"/>
        <v>179.7692752946532</v>
      </c>
      <c r="E27" s="453">
        <f t="shared" si="5"/>
        <v>121.35268771444071</v>
      </c>
      <c r="F27" s="453">
        <f t="shared" si="6"/>
        <v>0</v>
      </c>
      <c r="G27" s="453">
        <f t="shared" si="7"/>
        <v>52287.339208738733</v>
      </c>
      <c r="H27" s="453">
        <f t="shared" si="8"/>
        <v>13718.889918269488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66402.266367134143</v>
      </c>
    </row>
    <row r="28" spans="1:17" ht="16.5" customHeight="1">
      <c r="A28" s="448" t="s">
        <v>534</v>
      </c>
      <c r="B28" s="449">
        <f t="shared" ca="1" si="2"/>
        <v>6.5950389570172643</v>
      </c>
      <c r="C28" s="449">
        <f t="shared" ca="1" si="3"/>
        <v>0</v>
      </c>
      <c r="D28" s="449">
        <f t="shared" si="4"/>
        <v>0</v>
      </c>
      <c r="E28" s="449">
        <f t="shared" si="5"/>
        <v>0</v>
      </c>
      <c r="F28" s="449">
        <f t="shared" si="6"/>
        <v>0</v>
      </c>
      <c r="G28" s="449">
        <f t="shared" si="7"/>
        <v>674.10919367392773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680.70423263094494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231.78209421157646</v>
      </c>
      <c r="C32" s="449">
        <f t="shared" ca="1" si="3"/>
        <v>0</v>
      </c>
      <c r="D32" s="449">
        <f t="shared" si="4"/>
        <v>662.00571273967159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893.78780695124806</v>
      </c>
    </row>
    <row r="33" spans="1:17" s="460" customFormat="1">
      <c r="A33" s="458" t="s">
        <v>538</v>
      </c>
      <c r="B33" s="459">
        <f ca="1">SUM(B22:B32)</f>
        <v>18468.572643430965</v>
      </c>
      <c r="C33" s="459">
        <f t="shared" ref="C33:Q33" ca="1" si="19">SUM(C22:C32)</f>
        <v>0</v>
      </c>
      <c r="D33" s="459">
        <f t="shared" ca="1" si="19"/>
        <v>36979.287244146413</v>
      </c>
      <c r="E33" s="459">
        <f t="shared" si="19"/>
        <v>609.80283632754231</v>
      </c>
      <c r="F33" s="459">
        <f t="shared" ca="1" si="19"/>
        <v>13948.737020813391</v>
      </c>
      <c r="G33" s="459">
        <f t="shared" si="19"/>
        <v>52961.448402412658</v>
      </c>
      <c r="H33" s="459">
        <f t="shared" si="19"/>
        <v>13718.889918269488</v>
      </c>
      <c r="I33" s="459">
        <f t="shared" si="19"/>
        <v>0</v>
      </c>
      <c r="J33" s="459">
        <f t="shared" si="19"/>
        <v>95.018901758291904</v>
      </c>
      <c r="K33" s="459">
        <f t="shared" si="19"/>
        <v>0</v>
      </c>
      <c r="L33" s="459">
        <f t="shared" ca="1" si="19"/>
        <v>0</v>
      </c>
      <c r="M33" s="459">
        <f t="shared" si="19"/>
        <v>0</v>
      </c>
      <c r="N33" s="459">
        <f t="shared" ca="1" si="19"/>
        <v>0</v>
      </c>
      <c r="O33" s="459">
        <f t="shared" si="19"/>
        <v>0</v>
      </c>
      <c r="P33" s="459">
        <f t="shared" si="19"/>
        <v>0</v>
      </c>
      <c r="Q33" s="459">
        <f t="shared" ca="1" si="19"/>
        <v>136781.75696715876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7460.2904525203412</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8024.9060082366077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15485.19646075695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0.18645067134713808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0.18645067134713808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0.18645067134713808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0.18645067134713808</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9682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870.46</v>
      </c>
      <c r="C14" s="326"/>
      <c r="D14" s="326"/>
      <c r="E14" s="326"/>
      <c r="F14" s="326"/>
    </row>
    <row r="15" spans="1:6">
      <c r="A15" s="1307" t="s">
        <v>183</v>
      </c>
      <c r="B15" s="1308">
        <v>5</v>
      </c>
      <c r="C15" s="326"/>
      <c r="D15" s="326"/>
      <c r="E15" s="326"/>
      <c r="F15" s="326"/>
    </row>
    <row r="16" spans="1:6">
      <c r="A16" s="1307" t="s">
        <v>6</v>
      </c>
      <c r="B16" s="1308">
        <v>100</v>
      </c>
      <c r="C16" s="326"/>
      <c r="D16" s="326"/>
      <c r="E16" s="326"/>
      <c r="F16" s="326"/>
    </row>
    <row r="17" spans="1:6">
      <c r="A17" s="1307" t="s">
        <v>7</v>
      </c>
      <c r="B17" s="1308">
        <v>300</v>
      </c>
      <c r="C17" s="326"/>
      <c r="D17" s="326"/>
      <c r="E17" s="326"/>
      <c r="F17" s="326"/>
    </row>
    <row r="18" spans="1:6">
      <c r="A18" s="1307" t="s">
        <v>8</v>
      </c>
      <c r="B18" s="1308">
        <v>282</v>
      </c>
      <c r="C18" s="326"/>
      <c r="D18" s="326"/>
      <c r="E18" s="326"/>
      <c r="F18" s="326"/>
    </row>
    <row r="19" spans="1:6">
      <c r="A19" s="1307" t="s">
        <v>9</v>
      </c>
      <c r="B19" s="1308">
        <v>273</v>
      </c>
      <c r="C19" s="326"/>
      <c r="D19" s="326"/>
      <c r="E19" s="326"/>
      <c r="F19" s="326"/>
    </row>
    <row r="20" spans="1:6">
      <c r="A20" s="1307" t="s">
        <v>10</v>
      </c>
      <c r="B20" s="1308">
        <v>280</v>
      </c>
      <c r="C20" s="326"/>
      <c r="D20" s="326"/>
      <c r="E20" s="326"/>
      <c r="F20" s="326"/>
    </row>
    <row r="21" spans="1:6">
      <c r="A21" s="1307" t="s">
        <v>11</v>
      </c>
      <c r="B21" s="1308">
        <v>128</v>
      </c>
      <c r="C21" s="326"/>
      <c r="D21" s="326"/>
      <c r="E21" s="326"/>
      <c r="F21" s="326"/>
    </row>
    <row r="22" spans="1:6">
      <c r="A22" s="1307" t="s">
        <v>12</v>
      </c>
      <c r="B22" s="1308">
        <v>417</v>
      </c>
      <c r="C22" s="326"/>
      <c r="D22" s="326"/>
      <c r="E22" s="326"/>
      <c r="F22" s="326"/>
    </row>
    <row r="23" spans="1:6">
      <c r="A23" s="1307" t="s">
        <v>13</v>
      </c>
      <c r="B23" s="1308">
        <v>5</v>
      </c>
      <c r="C23" s="326"/>
      <c r="D23" s="326"/>
      <c r="E23" s="326"/>
      <c r="F23" s="326"/>
    </row>
    <row r="24" spans="1:6">
      <c r="A24" s="1307" t="s">
        <v>14</v>
      </c>
      <c r="B24" s="1308">
        <v>0</v>
      </c>
      <c r="C24" s="326"/>
      <c r="D24" s="326"/>
      <c r="E24" s="326"/>
      <c r="F24" s="326"/>
    </row>
    <row r="25" spans="1:6">
      <c r="A25" s="1307" t="s">
        <v>15</v>
      </c>
      <c r="B25" s="1308">
        <v>73</v>
      </c>
      <c r="C25" s="326"/>
      <c r="D25" s="326"/>
      <c r="E25" s="326"/>
      <c r="F25" s="326"/>
    </row>
    <row r="26" spans="1:6">
      <c r="A26" s="1307" t="s">
        <v>16</v>
      </c>
      <c r="B26" s="1308">
        <v>62</v>
      </c>
      <c r="C26" s="326"/>
      <c r="D26" s="326"/>
      <c r="E26" s="326"/>
      <c r="F26" s="326"/>
    </row>
    <row r="27" spans="1:6">
      <c r="A27" s="1307" t="s">
        <v>17</v>
      </c>
      <c r="B27" s="1308">
        <v>5</v>
      </c>
      <c r="C27" s="326"/>
      <c r="D27" s="326"/>
      <c r="E27" s="326"/>
      <c r="F27" s="326"/>
    </row>
    <row r="28" spans="1:6" s="43" customFormat="1">
      <c r="A28" s="1309" t="s">
        <v>18</v>
      </c>
      <c r="B28" s="1310">
        <v>20</v>
      </c>
      <c r="C28" s="332"/>
      <c r="D28" s="332"/>
      <c r="E28" s="332"/>
      <c r="F28" s="332"/>
    </row>
    <row r="29" spans="1:6">
      <c r="A29" s="1309" t="s">
        <v>688</v>
      </c>
      <c r="B29" s="1310">
        <v>37</v>
      </c>
      <c r="C29" s="332"/>
      <c r="D29" s="332"/>
      <c r="E29" s="332"/>
      <c r="F29" s="332"/>
    </row>
    <row r="30" spans="1:6">
      <c r="A30" s="1302" t="s">
        <v>689</v>
      </c>
      <c r="B30" s="1311">
        <v>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5</v>
      </c>
      <c r="F36" s="1308">
        <v>18525</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22299</v>
      </c>
    </row>
    <row r="39" spans="1:6">
      <c r="A39" s="1307" t="s">
        <v>29</v>
      </c>
      <c r="B39" s="1307" t="s">
        <v>30</v>
      </c>
      <c r="C39" s="1308">
        <v>6814</v>
      </c>
      <c r="D39" s="1308">
        <v>128263065.5087</v>
      </c>
      <c r="E39" s="1308">
        <v>9564</v>
      </c>
      <c r="F39" s="1308">
        <v>37804609.964657798</v>
      </c>
    </row>
    <row r="40" spans="1:6">
      <c r="A40" s="1307" t="s">
        <v>29</v>
      </c>
      <c r="B40" s="1307" t="s">
        <v>28</v>
      </c>
      <c r="C40" s="1308">
        <v>0</v>
      </c>
      <c r="D40" s="1308">
        <v>0</v>
      </c>
      <c r="E40" s="1308">
        <v>0</v>
      </c>
      <c r="F40" s="1308">
        <v>0</v>
      </c>
    </row>
    <row r="41" spans="1:6">
      <c r="A41" s="1307" t="s">
        <v>31</v>
      </c>
      <c r="B41" s="1307" t="s">
        <v>32</v>
      </c>
      <c r="C41" s="1308">
        <v>73</v>
      </c>
      <c r="D41" s="1308">
        <v>1768073.71489161</v>
      </c>
      <c r="E41" s="1308">
        <v>165</v>
      </c>
      <c r="F41" s="1308">
        <v>2170437.3465164802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10</v>
      </c>
      <c r="D44" s="1308">
        <v>18217120.080296502</v>
      </c>
      <c r="E44" s="1308">
        <v>23</v>
      </c>
      <c r="F44" s="1308">
        <v>7634240.80225142</v>
      </c>
    </row>
    <row r="45" spans="1:6">
      <c r="A45" s="1307" t="s">
        <v>31</v>
      </c>
      <c r="B45" s="1307" t="s">
        <v>36</v>
      </c>
      <c r="C45" s="1308">
        <v>4</v>
      </c>
      <c r="D45" s="1308">
        <v>216622.139017543</v>
      </c>
      <c r="E45" s="1308">
        <v>6</v>
      </c>
      <c r="F45" s="1308">
        <v>373752.46272695099</v>
      </c>
    </row>
    <row r="46" spans="1:6">
      <c r="A46" s="1307" t="s">
        <v>31</v>
      </c>
      <c r="B46" s="1307" t="s">
        <v>37</v>
      </c>
      <c r="C46" s="1308">
        <v>0</v>
      </c>
      <c r="D46" s="1308">
        <v>0</v>
      </c>
      <c r="E46" s="1308">
        <v>0</v>
      </c>
      <c r="F46" s="1308">
        <v>0</v>
      </c>
    </row>
    <row r="47" spans="1:6">
      <c r="A47" s="1307" t="s">
        <v>31</v>
      </c>
      <c r="B47" s="1307" t="s">
        <v>38</v>
      </c>
      <c r="C47" s="1308">
        <v>9</v>
      </c>
      <c r="D47" s="1308">
        <v>1022654.43606923</v>
      </c>
      <c r="E47" s="1308">
        <v>15</v>
      </c>
      <c r="F47" s="1308">
        <v>3290508.73449858</v>
      </c>
    </row>
    <row r="48" spans="1:6">
      <c r="A48" s="1307" t="s">
        <v>31</v>
      </c>
      <c r="B48" s="1307" t="s">
        <v>28</v>
      </c>
      <c r="C48" s="1308">
        <v>1</v>
      </c>
      <c r="D48" s="1308">
        <v>47002.134674812201</v>
      </c>
      <c r="E48" s="1308">
        <v>4</v>
      </c>
      <c r="F48" s="1308">
        <v>1325490.2472364299</v>
      </c>
    </row>
    <row r="49" spans="1:6">
      <c r="A49" s="1307" t="s">
        <v>31</v>
      </c>
      <c r="B49" s="1307" t="s">
        <v>39</v>
      </c>
      <c r="C49" s="1308">
        <v>0</v>
      </c>
      <c r="D49" s="1308">
        <v>0</v>
      </c>
      <c r="E49" s="1308">
        <v>0</v>
      </c>
      <c r="F49" s="1308">
        <v>0</v>
      </c>
    </row>
    <row r="50" spans="1:6">
      <c r="A50" s="1307" t="s">
        <v>31</v>
      </c>
      <c r="B50" s="1307" t="s">
        <v>40</v>
      </c>
      <c r="C50" s="1308">
        <v>15</v>
      </c>
      <c r="D50" s="1308">
        <v>1671633.3394559</v>
      </c>
      <c r="E50" s="1308">
        <v>15</v>
      </c>
      <c r="F50" s="1308">
        <v>2131288.3680877001</v>
      </c>
    </row>
    <row r="51" spans="1:6">
      <c r="A51" s="1307" t="s">
        <v>41</v>
      </c>
      <c r="B51" s="1307" t="s">
        <v>42</v>
      </c>
      <c r="C51" s="1308">
        <v>8</v>
      </c>
      <c r="D51" s="1308">
        <v>119959.064446321</v>
      </c>
      <c r="E51" s="1308">
        <v>24</v>
      </c>
      <c r="F51" s="1308">
        <v>136524.721327957</v>
      </c>
    </row>
    <row r="52" spans="1:6">
      <c r="A52" s="1307" t="s">
        <v>41</v>
      </c>
      <c r="B52" s="1307" t="s">
        <v>28</v>
      </c>
      <c r="C52" s="1308">
        <v>0</v>
      </c>
      <c r="D52" s="1308">
        <v>0</v>
      </c>
      <c r="E52" s="1308">
        <v>0</v>
      </c>
      <c r="F52" s="1308">
        <v>0</v>
      </c>
    </row>
    <row r="53" spans="1:6">
      <c r="A53" s="1307" t="s">
        <v>43</v>
      </c>
      <c r="B53" s="1307" t="s">
        <v>44</v>
      </c>
      <c r="C53" s="1308">
        <v>178</v>
      </c>
      <c r="D53" s="1308">
        <v>3277256.0036617401</v>
      </c>
      <c r="E53" s="1308">
        <v>309</v>
      </c>
      <c r="F53" s="1308">
        <v>1243128.2362080601</v>
      </c>
    </row>
    <row r="54" spans="1:6">
      <c r="A54" s="1307" t="s">
        <v>45</v>
      </c>
      <c r="B54" s="1307" t="s">
        <v>46</v>
      </c>
      <c r="C54" s="1308">
        <v>0</v>
      </c>
      <c r="D54" s="1308">
        <v>0</v>
      </c>
      <c r="E54" s="1308">
        <v>1</v>
      </c>
      <c r="F54" s="1308">
        <v>1933554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62</v>
      </c>
      <c r="D57" s="1308">
        <v>1759715.8276897999</v>
      </c>
      <c r="E57" s="1308">
        <v>108</v>
      </c>
      <c r="F57" s="1308">
        <v>3567476.6383402101</v>
      </c>
    </row>
    <row r="58" spans="1:6">
      <c r="A58" s="1307" t="s">
        <v>48</v>
      </c>
      <c r="B58" s="1307" t="s">
        <v>50</v>
      </c>
      <c r="C58" s="1308">
        <v>51</v>
      </c>
      <c r="D58" s="1308">
        <v>4546137.7470650598</v>
      </c>
      <c r="E58" s="1308">
        <v>77</v>
      </c>
      <c r="F58" s="1308">
        <v>1227668.4419612901</v>
      </c>
    </row>
    <row r="59" spans="1:6">
      <c r="A59" s="1307" t="s">
        <v>48</v>
      </c>
      <c r="B59" s="1307" t="s">
        <v>51</v>
      </c>
      <c r="C59" s="1308">
        <v>122</v>
      </c>
      <c r="D59" s="1308">
        <v>12408628.914818</v>
      </c>
      <c r="E59" s="1308">
        <v>229</v>
      </c>
      <c r="F59" s="1308">
        <v>13092500.0196192</v>
      </c>
    </row>
    <row r="60" spans="1:6">
      <c r="A60" s="1307" t="s">
        <v>48</v>
      </c>
      <c r="B60" s="1307" t="s">
        <v>52</v>
      </c>
      <c r="C60" s="1308">
        <v>87</v>
      </c>
      <c r="D60" s="1308">
        <v>5415936.8674544701</v>
      </c>
      <c r="E60" s="1308">
        <v>108</v>
      </c>
      <c r="F60" s="1308">
        <v>3614487.8382567302</v>
      </c>
    </row>
    <row r="61" spans="1:6">
      <c r="A61" s="1307" t="s">
        <v>48</v>
      </c>
      <c r="B61" s="1307" t="s">
        <v>53</v>
      </c>
      <c r="C61" s="1308">
        <v>290</v>
      </c>
      <c r="D61" s="1308">
        <v>20448170.710245799</v>
      </c>
      <c r="E61" s="1308">
        <v>579</v>
      </c>
      <c r="F61" s="1308">
        <v>14897309.212525999</v>
      </c>
    </row>
    <row r="62" spans="1:6">
      <c r="A62" s="1307" t="s">
        <v>48</v>
      </c>
      <c r="B62" s="1307" t="s">
        <v>54</v>
      </c>
      <c r="C62" s="1308">
        <v>11</v>
      </c>
      <c r="D62" s="1308">
        <v>2211088.5133004501</v>
      </c>
      <c r="E62" s="1308">
        <v>12</v>
      </c>
      <c r="F62" s="1308">
        <v>353210.30103195203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7</v>
      </c>
      <c r="F66" s="1308">
        <v>531224.34904717898</v>
      </c>
    </row>
    <row r="67" spans="1:6">
      <c r="A67" s="1309" t="s">
        <v>55</v>
      </c>
      <c r="B67" s="1309" t="s">
        <v>58</v>
      </c>
      <c r="C67" s="1308">
        <v>0</v>
      </c>
      <c r="D67" s="1308">
        <v>0</v>
      </c>
      <c r="E67" s="1308">
        <v>0</v>
      </c>
      <c r="F67" s="1308">
        <v>0</v>
      </c>
    </row>
    <row r="68" spans="1:6">
      <c r="A68" s="1302" t="s">
        <v>55</v>
      </c>
      <c r="B68" s="1302" t="s">
        <v>59</v>
      </c>
      <c r="C68" s="1311">
        <v>3</v>
      </c>
      <c r="D68" s="1311">
        <v>48578.128874381997</v>
      </c>
      <c r="E68" s="1311">
        <v>7</v>
      </c>
      <c r="F68" s="1311">
        <v>61043.771371352501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116882</v>
      </c>
      <c r="E73" s="447"/>
      <c r="F73" s="326"/>
    </row>
    <row r="74" spans="1:6">
      <c r="A74" s="1307" t="s">
        <v>63</v>
      </c>
      <c r="B74" s="1307" t="s">
        <v>639</v>
      </c>
      <c r="C74" s="1321" t="s">
        <v>641</v>
      </c>
      <c r="D74" s="1322">
        <v>3162</v>
      </c>
      <c r="E74" s="447"/>
      <c r="F74" s="326"/>
    </row>
    <row r="75" spans="1:6">
      <c r="A75" s="1307" t="s">
        <v>64</v>
      </c>
      <c r="B75" s="1307" t="s">
        <v>638</v>
      </c>
      <c r="C75" s="1321" t="s">
        <v>642</v>
      </c>
      <c r="D75" s="1322">
        <v>114581936</v>
      </c>
      <c r="E75" s="447"/>
      <c r="F75" s="326"/>
    </row>
    <row r="76" spans="1:6">
      <c r="A76" s="1307" t="s">
        <v>64</v>
      </c>
      <c r="B76" s="1307" t="s">
        <v>639</v>
      </c>
      <c r="C76" s="1321" t="s">
        <v>643</v>
      </c>
      <c r="D76" s="1322">
        <v>3668351.6571405698</v>
      </c>
      <c r="E76" s="447"/>
      <c r="F76" s="326"/>
    </row>
    <row r="77" spans="1:6">
      <c r="A77" s="1307" t="s">
        <v>65</v>
      </c>
      <c r="B77" s="1307" t="s">
        <v>638</v>
      </c>
      <c r="C77" s="1321" t="s">
        <v>644</v>
      </c>
      <c r="D77" s="1322">
        <v>173449647</v>
      </c>
      <c r="E77" s="447"/>
      <c r="F77" s="326"/>
    </row>
    <row r="78" spans="1:6">
      <c r="A78" s="1302" t="s">
        <v>65</v>
      </c>
      <c r="B78" s="1302" t="s">
        <v>639</v>
      </c>
      <c r="C78" s="1302" t="s">
        <v>645</v>
      </c>
      <c r="D78" s="1323">
        <v>14461816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747644.68571886001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7460.2904525203412</v>
      </c>
      <c r="C90" s="326"/>
      <c r="D90" s="326"/>
      <c r="E90" s="326"/>
      <c r="F90" s="326"/>
    </row>
    <row r="91" spans="1:6">
      <c r="A91" s="1307" t="s">
        <v>67</v>
      </c>
      <c r="B91" s="1308">
        <v>3712.7758916054308</v>
      </c>
      <c r="C91" s="326"/>
      <c r="D91" s="326"/>
      <c r="E91" s="326"/>
      <c r="F91" s="326"/>
    </row>
    <row r="92" spans="1:6">
      <c r="A92" s="1302" t="s">
        <v>68</v>
      </c>
      <c r="B92" s="1303">
        <v>4312.1301166311769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4478</v>
      </c>
      <c r="C97" s="326"/>
      <c r="D97" s="326"/>
      <c r="E97" s="326"/>
      <c r="F97" s="326"/>
    </row>
    <row r="98" spans="1:6">
      <c r="A98" s="1307" t="s">
        <v>71</v>
      </c>
      <c r="B98" s="1308">
        <v>4</v>
      </c>
      <c r="C98" s="326"/>
      <c r="D98" s="326"/>
      <c r="E98" s="326"/>
      <c r="F98" s="326"/>
    </row>
    <row r="99" spans="1:6">
      <c r="A99" s="1307" t="s">
        <v>72</v>
      </c>
      <c r="B99" s="1308">
        <v>69</v>
      </c>
      <c r="C99" s="326"/>
      <c r="D99" s="326"/>
      <c r="E99" s="326"/>
      <c r="F99" s="326"/>
    </row>
    <row r="100" spans="1:6">
      <c r="A100" s="1307" t="s">
        <v>73</v>
      </c>
      <c r="B100" s="1308">
        <v>697</v>
      </c>
      <c r="C100" s="326"/>
      <c r="D100" s="326"/>
      <c r="E100" s="326"/>
      <c r="F100" s="326"/>
    </row>
    <row r="101" spans="1:6">
      <c r="A101" s="1307" t="s">
        <v>74</v>
      </c>
      <c r="B101" s="1308">
        <v>74</v>
      </c>
      <c r="C101" s="326"/>
      <c r="D101" s="326"/>
      <c r="E101" s="326"/>
      <c r="F101" s="326"/>
    </row>
    <row r="102" spans="1:6">
      <c r="A102" s="1307" t="s">
        <v>75</v>
      </c>
      <c r="B102" s="1308">
        <v>108</v>
      </c>
      <c r="C102" s="326"/>
      <c r="D102" s="326"/>
      <c r="E102" s="326"/>
      <c r="F102" s="326"/>
    </row>
    <row r="103" spans="1:6">
      <c r="A103" s="1307" t="s">
        <v>76</v>
      </c>
      <c r="B103" s="1308">
        <v>166</v>
      </c>
      <c r="C103" s="326"/>
      <c r="D103" s="326"/>
      <c r="E103" s="326"/>
      <c r="F103" s="326"/>
    </row>
    <row r="104" spans="1:6">
      <c r="A104" s="1307" t="s">
        <v>77</v>
      </c>
      <c r="B104" s="1308">
        <v>2953</v>
      </c>
      <c r="C104" s="326"/>
      <c r="D104" s="326"/>
      <c r="E104" s="326"/>
      <c r="F104" s="326"/>
    </row>
    <row r="105" spans="1:6">
      <c r="A105" s="1302" t="s">
        <v>78</v>
      </c>
      <c r="B105" s="1311">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1</v>
      </c>
      <c r="C122" s="1308">
        <v>0</v>
      </c>
      <c r="D122" s="326"/>
      <c r="E122" s="326"/>
      <c r="F122" s="326"/>
    </row>
    <row r="123" spans="1:6">
      <c r="A123" s="1307" t="s">
        <v>87</v>
      </c>
      <c r="B123" s="1308">
        <v>29</v>
      </c>
      <c r="C123" s="1308">
        <v>29</v>
      </c>
      <c r="D123" s="326"/>
      <c r="E123" s="326"/>
      <c r="F123" s="326"/>
    </row>
    <row r="124" spans="1:6" s="43" customFormat="1">
      <c r="A124" s="1309" t="s">
        <v>88</v>
      </c>
      <c r="B124" s="1330">
        <v>0</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121</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20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99053.39846723192</v>
      </c>
      <c r="C3" s="43" t="s">
        <v>169</v>
      </c>
      <c r="D3" s="43"/>
      <c r="E3" s="154"/>
      <c r="F3" s="43"/>
      <c r="G3" s="43"/>
      <c r="H3" s="43"/>
      <c r="I3" s="43"/>
      <c r="J3" s="43"/>
      <c r="K3" s="96"/>
    </row>
    <row r="4" spans="1:11">
      <c r="A4" s="354" t="s">
        <v>170</v>
      </c>
      <c r="B4" s="49">
        <f>IF(ISERROR('SEAP template'!B78+'SEAP template'!C78),0,'SEAP template'!B78+'SEAP template'!C78)</f>
        <v>15485.19646075695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0.18645067134713808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1933.5540000000001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1933.5540000000001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0.18645067134713808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360.51244138594421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37804.6099646578</v>
      </c>
      <c r="C5" s="17">
        <f>IF(ISERROR('Eigen informatie GS &amp; warmtenet'!B59),0,'Eigen informatie GS &amp; warmtenet'!B59)</f>
        <v>0</v>
      </c>
      <c r="D5" s="30">
        <f>(SUM(HH_hh_gas_kWh,HH_rest_gas_kWh)/1000)*0.903</f>
        <v>115821.5481543561</v>
      </c>
      <c r="E5" s="17">
        <f>B32*B41</f>
        <v>1962.2362495931227</v>
      </c>
      <c r="F5" s="17">
        <f>B36*B45</f>
        <v>44569.999893197724</v>
      </c>
      <c r="G5" s="18"/>
      <c r="H5" s="17"/>
      <c r="I5" s="17"/>
      <c r="J5" s="17">
        <f>B35*B44+C35*C44</f>
        <v>222.97618964330741</v>
      </c>
      <c r="K5" s="17"/>
      <c r="L5" s="17"/>
      <c r="M5" s="17"/>
      <c r="N5" s="17">
        <f>B34*B43+C34*C43</f>
        <v>12907.091801563924</v>
      </c>
      <c r="O5" s="17">
        <f>B52*B53*B54</f>
        <v>301.56164934682886</v>
      </c>
      <c r="P5" s="17">
        <f>B60*B61*B62/1000-B60*B61*B62/1000/B63</f>
        <v>516.16400607656612</v>
      </c>
    </row>
    <row r="6" spans="1:16">
      <c r="A6" s="16" t="s">
        <v>604</v>
      </c>
      <c r="B6" s="779">
        <f>kWh_PV_kleiner_dan_10kW</f>
        <v>3712.7758916054308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41517.38585626323</v>
      </c>
      <c r="C8" s="21">
        <f>C5</f>
        <v>0</v>
      </c>
      <c r="D8" s="21">
        <f>D5</f>
        <v>115821.5481543561</v>
      </c>
      <c r="E8" s="21">
        <f>E5</f>
        <v>1962.2362495931227</v>
      </c>
      <c r="F8" s="21">
        <f>F5</f>
        <v>44569.999893197724</v>
      </c>
      <c r="G8" s="21"/>
      <c r="H8" s="21"/>
      <c r="I8" s="21"/>
      <c r="J8" s="21">
        <f>J5</f>
        <v>222.97618964330741</v>
      </c>
      <c r="K8" s="21"/>
      <c r="L8" s="21">
        <f>L5</f>
        <v>0</v>
      </c>
      <c r="M8" s="21">
        <f>M5</f>
        <v>0</v>
      </c>
      <c r="N8" s="21">
        <f>N5</f>
        <v>12907.091801563924</v>
      </c>
      <c r="O8" s="21">
        <f>O5</f>
        <v>301.56164934682886</v>
      </c>
      <c r="P8" s="21">
        <f>P5</f>
        <v>516.16400607656612</v>
      </c>
    </row>
    <row r="9" spans="1:16">
      <c r="B9" s="19"/>
      <c r="C9" s="19"/>
      <c r="D9" s="254"/>
      <c r="E9" s="19"/>
      <c r="F9" s="19"/>
      <c r="G9" s="19"/>
      <c r="H9" s="19"/>
      <c r="I9" s="19"/>
      <c r="J9" s="19"/>
      <c r="K9" s="19"/>
      <c r="L9" s="19"/>
      <c r="M9" s="19"/>
      <c r="N9" s="19"/>
      <c r="O9" s="19"/>
      <c r="P9" s="19"/>
    </row>
    <row r="10" spans="1:16">
      <c r="A10" s="24" t="s">
        <v>213</v>
      </c>
      <c r="B10" s="25">
        <f ca="1">'EF ele_warmte'!B12</f>
        <v>0.18645067134713808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7740.9444654784547</v>
      </c>
      <c r="C12" s="23">
        <f ca="1">C10*C8</f>
        <v>0</v>
      </c>
      <c r="D12" s="23">
        <f>D8*D10</f>
        <v>23395.952727179934</v>
      </c>
      <c r="E12" s="23">
        <f>E10*E8</f>
        <v>445.42762865763888</v>
      </c>
      <c r="F12" s="23">
        <f>F10*F8</f>
        <v>11900.189971483793</v>
      </c>
      <c r="G12" s="23"/>
      <c r="H12" s="23"/>
      <c r="I12" s="23"/>
      <c r="J12" s="23">
        <f>J10*J8</f>
        <v>78.933571133730823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9682</v>
      </c>
      <c r="C26" s="36"/>
      <c r="D26" s="225"/>
    </row>
    <row r="27" spans="1:5" s="15" customFormat="1">
      <c r="A27" s="227" t="s">
        <v>817</v>
      </c>
      <c r="B27" s="37">
        <f>SUM(HH_hh_gas_aantal,HH_rest_gas_aantal)</f>
        <v>6814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6473.3</v>
      </c>
      <c r="C31" s="34" t="s">
        <v>110</v>
      </c>
      <c r="D31" s="171"/>
    </row>
    <row r="32" spans="1:5">
      <c r="A32" s="168" t="s">
        <v>72</v>
      </c>
      <c r="B32" s="33">
        <f>IF((B21*($B$26-($B$27-0.05*$B$27)-$B$60))&lt;0,0,B21*($B$26-($B$27-0.05*$B$27)-$B$60))</f>
        <v>48.632077084313018</v>
      </c>
      <c r="C32" s="34" t="s">
        <v>110</v>
      </c>
      <c r="D32" s="171"/>
    </row>
    <row r="33" spans="1:6">
      <c r="A33" s="168" t="s">
        <v>73</v>
      </c>
      <c r="B33" s="33">
        <f>IF((B22*($B$26-($B$27-0.05*$B$27)-$B$60))&lt;0,0,B22*($B$26-($B$27-0.05*$B$27)-$B$60))</f>
        <v>789.68861496341458</v>
      </c>
      <c r="C33" s="34" t="s">
        <v>110</v>
      </c>
      <c r="D33" s="171"/>
    </row>
    <row r="34" spans="1:6">
      <c r="A34" s="168" t="s">
        <v>74</v>
      </c>
      <c r="B34" s="33">
        <f>IF((B24*($B$26-($B$27-0.05*$B$27)-$B$60))&lt;0,0,B24*($B$26-($B$27-0.05*$B$27)-$B$60))</f>
        <v>151.26340643761478</v>
      </c>
      <c r="C34" s="33">
        <f>B26*C24</f>
        <v>1982.6209010753366</v>
      </c>
      <c r="D34" s="230"/>
    </row>
    <row r="35" spans="1:6">
      <c r="A35" s="168" t="s">
        <v>76</v>
      </c>
      <c r="B35" s="33">
        <f>IF((B19*($B$26-($B$27-0.05*$B$27)-$B$60))&lt;0,0,B19*($B$26-($B$27-0.05*$B$27)-$B$60))</f>
        <v>21.140247966505605</v>
      </c>
      <c r="C35" s="33">
        <f>B35/2</f>
        <v>10.570123983252802</v>
      </c>
      <c r="D35" s="230"/>
    </row>
    <row r="36" spans="1:6">
      <c r="A36" s="168" t="s">
        <v>77</v>
      </c>
      <c r="B36" s="33">
        <f>IF((B18*($B$26-($B$27-0.05*$B$27)-$B$60))&lt;0,0,B18*($B$26-($B$27-0.05*$B$27)-$B$60))</f>
        <v>2148.9756535481511</v>
      </c>
      <c r="C36" s="34" t="s">
        <v>110</v>
      </c>
      <c r="D36" s="171"/>
    </row>
    <row r="37" spans="1:6">
      <c r="A37" s="168" t="s">
        <v>78</v>
      </c>
      <c r="B37" s="33">
        <f>B60</f>
        <v>49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36752.652451735383</v>
      </c>
      <c r="C5" s="17">
        <f>IF(ISERROR('Eigen informatie GS &amp; warmtenet'!B60),0,'Eigen informatie GS &amp; warmtenet'!B60)</f>
        <v>0</v>
      </c>
      <c r="D5" s="30">
        <f>SUM(D6:D12)</f>
        <v>42251.079758257947</v>
      </c>
      <c r="E5" s="17">
        <f>SUM(E6:E12)</f>
        <v>100.67616289863361</v>
      </c>
      <c r="F5" s="17">
        <f>SUM(F6:F12)</f>
        <v>5222.6383220334819</v>
      </c>
      <c r="G5" s="18"/>
      <c r="H5" s="17"/>
      <c r="I5" s="17"/>
      <c r="J5" s="17">
        <f>SUM(J6:J12)</f>
        <v>3.5231757516562934E-2</v>
      </c>
      <c r="K5" s="17"/>
      <c r="L5" s="17"/>
      <c r="M5" s="17"/>
      <c r="N5" s="17">
        <f>SUM(N6:N12)</f>
        <v>1296.7215761786094</v>
      </c>
      <c r="O5" s="17">
        <f>B38*B39*B40</f>
        <v>4.8972607658411542</v>
      </c>
      <c r="P5" s="17">
        <f>B46*B47*B48/1000-B46*B47*B48/1000/B49</f>
        <v>105.07827661299004</v>
      </c>
      <c r="R5" s="32"/>
    </row>
    <row r="6" spans="1:18">
      <c r="A6" s="32" t="s">
        <v>53</v>
      </c>
      <c r="B6" s="37">
        <f>B26</f>
        <v>14897.309212525999</v>
      </c>
      <c r="C6" s="33"/>
      <c r="D6" s="37">
        <f>IF(ISERROR(TER_kantoor_gas_kWh/1000),0,TER_kantoor_gas_kWh/1000)*0.903</f>
        <v>18464.698151351957</v>
      </c>
      <c r="E6" s="33">
        <f>$C$26*'E Balans VL '!I12/100/3.6*1000000</f>
        <v>3.5690411839565797</v>
      </c>
      <c r="F6" s="33">
        <f>$C$26*('E Balans VL '!L12+'E Balans VL '!N12)/100/3.6*1000000</f>
        <v>1412.6943352667415</v>
      </c>
      <c r="G6" s="34"/>
      <c r="H6" s="33"/>
      <c r="I6" s="33"/>
      <c r="J6" s="33">
        <f>$C$26*('E Balans VL '!D12+'E Balans VL '!E12)/100/3.6*1000000</f>
        <v>0</v>
      </c>
      <c r="K6" s="33"/>
      <c r="L6" s="33"/>
      <c r="M6" s="33"/>
      <c r="N6" s="33">
        <f>$C$26*'E Balans VL '!Y12/100/3.6*1000000</f>
        <v>7.567062536072882</v>
      </c>
      <c r="O6" s="33"/>
      <c r="P6" s="33"/>
      <c r="R6" s="32"/>
    </row>
    <row r="7" spans="1:18">
      <c r="A7" s="32" t="s">
        <v>52</v>
      </c>
      <c r="B7" s="37">
        <f t="shared" ref="B7:B12" si="0">B27</f>
        <v>3614.4878382567304</v>
      </c>
      <c r="C7" s="33"/>
      <c r="D7" s="37">
        <f>IF(ISERROR(TER_horeca_gas_kWh/1000),0,TER_horeca_gas_kWh/1000)*0.903</f>
        <v>4890.5909913113865</v>
      </c>
      <c r="E7" s="33">
        <f>$C$27*'E Balans VL '!I9/100/3.6*1000000</f>
        <v>0</v>
      </c>
      <c r="F7" s="33">
        <f>$C$27*('E Balans VL '!L9+'E Balans VL '!N9)/100/3.6*1000000</f>
        <v>296.37950619917143</v>
      </c>
      <c r="G7" s="34"/>
      <c r="H7" s="33"/>
      <c r="I7" s="33"/>
      <c r="J7" s="33">
        <f>$C$27*('E Balans VL '!D9+'E Balans VL '!E9)/100/3.6*1000000</f>
        <v>0</v>
      </c>
      <c r="K7" s="33"/>
      <c r="L7" s="33"/>
      <c r="M7" s="33"/>
      <c r="N7" s="33">
        <f>$C$27*'E Balans VL '!Y9/100/3.6*1000000</f>
        <v>1.1079857418975507</v>
      </c>
      <c r="O7" s="33"/>
      <c r="P7" s="33"/>
      <c r="R7" s="32"/>
    </row>
    <row r="8" spans="1:18">
      <c r="A8" s="6" t="s">
        <v>51</v>
      </c>
      <c r="B8" s="37">
        <f t="shared" si="0"/>
        <v>13092.5000196192</v>
      </c>
      <c r="C8" s="33"/>
      <c r="D8" s="37">
        <f>IF(ISERROR(TER_handel_gas_kWh/1000),0,TER_handel_gas_kWh/1000)*0.903</f>
        <v>11204.991910080655</v>
      </c>
      <c r="E8" s="33">
        <f>$C$28*'E Balans VL '!I13/100/3.6*1000000</f>
        <v>46.012981822458315</v>
      </c>
      <c r="F8" s="33">
        <f>$C$28*('E Balans VL '!L13+'E Balans VL '!N13)/100/3.6*1000000</f>
        <v>1197.940239859405</v>
      </c>
      <c r="G8" s="34"/>
      <c r="H8" s="33"/>
      <c r="I8" s="33"/>
      <c r="J8" s="33">
        <f>$C$28*('E Balans VL '!D13+'E Balans VL '!E13)/100/3.6*1000000</f>
        <v>0</v>
      </c>
      <c r="K8" s="33"/>
      <c r="L8" s="33"/>
      <c r="M8" s="33"/>
      <c r="N8" s="33">
        <f>$C$28*'E Balans VL '!Y13/100/3.6*1000000</f>
        <v>4.7415398538857128</v>
      </c>
      <c r="O8" s="33"/>
      <c r="P8" s="33"/>
      <c r="R8" s="32"/>
    </row>
    <row r="9" spans="1:18">
      <c r="A9" s="32" t="s">
        <v>50</v>
      </c>
      <c r="B9" s="37">
        <f t="shared" si="0"/>
        <v>1227.66844196129</v>
      </c>
      <c r="C9" s="33"/>
      <c r="D9" s="37">
        <f>IF(ISERROR(TER_gezond_gas_kWh/1000),0,TER_gezond_gas_kWh/1000)*0.903</f>
        <v>4105.1623855997486</v>
      </c>
      <c r="E9" s="33">
        <f>$C$29*'E Balans VL '!I10/100/3.6*1000000</f>
        <v>0</v>
      </c>
      <c r="F9" s="33">
        <f>$C$29*('E Balans VL '!L10+'E Balans VL '!N10)/100/3.6*1000000</f>
        <v>150.48960737234975</v>
      </c>
      <c r="G9" s="34"/>
      <c r="H9" s="33"/>
      <c r="I9" s="33"/>
      <c r="J9" s="33">
        <f>$C$29*('E Balans VL '!D10+'E Balans VL '!E10)/100/3.6*1000000</f>
        <v>0</v>
      </c>
      <c r="K9" s="33"/>
      <c r="L9" s="33"/>
      <c r="M9" s="33"/>
      <c r="N9" s="33">
        <f>$C$29*'E Balans VL '!Y10/100/3.6*1000000</f>
        <v>9.0531992527745544</v>
      </c>
      <c r="O9" s="33"/>
      <c r="P9" s="33"/>
      <c r="R9" s="32"/>
    </row>
    <row r="10" spans="1:18">
      <c r="A10" s="32" t="s">
        <v>49</v>
      </c>
      <c r="B10" s="37">
        <f t="shared" si="0"/>
        <v>3567.4766383402102</v>
      </c>
      <c r="C10" s="33"/>
      <c r="D10" s="37">
        <f>IF(ISERROR(TER_ander_gas_kWh/1000),0,TER_ander_gas_kWh/1000)*0.903</f>
        <v>1589.0233924038894</v>
      </c>
      <c r="E10" s="33">
        <f>$C$30*'E Balans VL '!I14/100/3.6*1000000</f>
        <v>51.094139892218706</v>
      </c>
      <c r="F10" s="33">
        <f>$C$30*('E Balans VL '!L14+'E Balans VL '!N14)/100/3.6*1000000</f>
        <v>2123.840142971113</v>
      </c>
      <c r="G10" s="34"/>
      <c r="H10" s="33"/>
      <c r="I10" s="33"/>
      <c r="J10" s="33">
        <f>$C$30*('E Balans VL '!D14+'E Balans VL '!E14)/100/3.6*1000000</f>
        <v>3.5231757516562934E-2</v>
      </c>
      <c r="K10" s="33"/>
      <c r="L10" s="33"/>
      <c r="M10" s="33"/>
      <c r="N10" s="33">
        <f>$C$30*'E Balans VL '!Y14/100/3.6*1000000</f>
        <v>1273.2571891458415</v>
      </c>
      <c r="O10" s="33"/>
      <c r="P10" s="33"/>
      <c r="R10" s="32"/>
    </row>
    <row r="11" spans="1:18">
      <c r="A11" s="32" t="s">
        <v>54</v>
      </c>
      <c r="B11" s="37">
        <f t="shared" si="0"/>
        <v>353.21030103195204</v>
      </c>
      <c r="C11" s="33"/>
      <c r="D11" s="37">
        <f>IF(ISERROR(TER_onderwijs_gas_kWh/1000),0,TER_onderwijs_gas_kWh/1000)*0.903</f>
        <v>1996.6129275103062</v>
      </c>
      <c r="E11" s="33">
        <f>$C$31*'E Balans VL '!I11/100/3.6*1000000</f>
        <v>0</v>
      </c>
      <c r="F11" s="33">
        <f>$C$31*('E Balans VL '!L11+'E Balans VL '!N11)/100/3.6*1000000</f>
        <v>41.294490364700984</v>
      </c>
      <c r="G11" s="34"/>
      <c r="H11" s="33"/>
      <c r="I11" s="33"/>
      <c r="J11" s="33">
        <f>$C$31*('E Balans VL '!D11+'E Balans VL '!E11)/100/3.6*1000000</f>
        <v>0</v>
      </c>
      <c r="K11" s="33"/>
      <c r="L11" s="33"/>
      <c r="M11" s="33"/>
      <c r="N11" s="33">
        <f>$C$31*'E Balans VL '!Y11/100/3.6*1000000</f>
        <v>0.99459964813715007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36752.652451735383</v>
      </c>
      <c r="C16" s="21">
        <f t="shared" ca="1" si="1"/>
        <v>0</v>
      </c>
      <c r="D16" s="21">
        <f t="shared" ca="1" si="1"/>
        <v>42251.079758257947</v>
      </c>
      <c r="E16" s="21">
        <f t="shared" si="1"/>
        <v>100.67616289863361</v>
      </c>
      <c r="F16" s="21">
        <f t="shared" ca="1" si="1"/>
        <v>5222.6383220334819</v>
      </c>
      <c r="G16" s="21">
        <f t="shared" si="1"/>
        <v>0</v>
      </c>
      <c r="H16" s="21">
        <f t="shared" si="1"/>
        <v>0</v>
      </c>
      <c r="I16" s="21">
        <f t="shared" si="1"/>
        <v>0</v>
      </c>
      <c r="J16" s="21">
        <f t="shared" si="1"/>
        <v>3.5231757516562934E-2</v>
      </c>
      <c r="K16" s="21">
        <f t="shared" si="1"/>
        <v>0</v>
      </c>
      <c r="L16" s="21">
        <f t="shared" ca="1" si="1"/>
        <v>0</v>
      </c>
      <c r="M16" s="21">
        <f t="shared" si="1"/>
        <v>0</v>
      </c>
      <c r="N16" s="21">
        <f t="shared" ca="1" si="1"/>
        <v>1296.7215761786094</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0.18645067134713808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6852.5567234141026</v>
      </c>
      <c r="C20" s="23">
        <f t="shared" ref="C20:P20" ca="1" si="2">C16*C18</f>
        <v>0</v>
      </c>
      <c r="D20" s="23">
        <f t="shared" ca="1" si="2"/>
        <v>8534.7181111681057</v>
      </c>
      <c r="E20" s="23">
        <f t="shared" si="2"/>
        <v>22.85348897798983</v>
      </c>
      <c r="F20" s="23">
        <f t="shared" ca="1" si="2"/>
        <v>1394.4444319829397</v>
      </c>
      <c r="G20" s="23">
        <f t="shared" si="2"/>
        <v>0</v>
      </c>
      <c r="H20" s="23">
        <f t="shared" si="2"/>
        <v>0</v>
      </c>
      <c r="I20" s="23">
        <f t="shared" si="2"/>
        <v>0</v>
      </c>
      <c r="J20" s="23">
        <f t="shared" si="2"/>
        <v>1.2472042160863278E-2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14897.309212525999</v>
      </c>
      <c r="C26" s="39">
        <f>IF(ISERROR(B26*3.6/1000000/'E Balans VL '!Z12*100),0,B26*3.6/1000000/'E Balans VL '!Z12*100)</f>
        <v>0.42014356986539209</v>
      </c>
      <c r="D26" s="233" t="s">
        <v>691</v>
      </c>
      <c r="F26" s="6"/>
    </row>
    <row r="27" spans="1:18">
      <c r="A27" s="228" t="s">
        <v>52</v>
      </c>
      <c r="B27" s="33">
        <f>IF(ISERROR(TER_horeca_ele_kWh/1000),0,TER_horeca_ele_kWh/1000)</f>
        <v>3614.4878382567304</v>
      </c>
      <c r="C27" s="39">
        <f>IF(ISERROR(B27*3.6/1000000/'E Balans VL '!Z9*100),0,B27*3.6/1000000/'E Balans VL '!Z9*100)</f>
        <v>0.26796987039029069</v>
      </c>
      <c r="D27" s="233" t="s">
        <v>691</v>
      </c>
      <c r="F27" s="6"/>
    </row>
    <row r="28" spans="1:18">
      <c r="A28" s="168" t="s">
        <v>51</v>
      </c>
      <c r="B28" s="33">
        <f>IF(ISERROR(TER_handel_ele_kWh/1000),0,TER_handel_ele_kWh/1000)</f>
        <v>13092.5000196192</v>
      </c>
      <c r="C28" s="39">
        <f>IF(ISERROR(B28*3.6/1000000/'E Balans VL '!Z13*100),0,B28*3.6/1000000/'E Balans VL '!Z13*100)</f>
        <v>0.39222017200678405</v>
      </c>
      <c r="D28" s="233" t="s">
        <v>691</v>
      </c>
      <c r="F28" s="6"/>
    </row>
    <row r="29" spans="1:18">
      <c r="A29" s="228" t="s">
        <v>50</v>
      </c>
      <c r="B29" s="33">
        <f>IF(ISERROR(TER_gezond_ele_kWh/1000),0,TER_gezond_ele_kWh/1000)</f>
        <v>1227.66844196129</v>
      </c>
      <c r="C29" s="39">
        <f>IF(ISERROR(B29*3.6/1000000/'E Balans VL '!Z10*100),0,B29*3.6/1000000/'E Balans VL '!Z10*100)</f>
        <v>0.12139233672346023</v>
      </c>
      <c r="D29" s="233" t="s">
        <v>691</v>
      </c>
      <c r="F29" s="6"/>
    </row>
    <row r="30" spans="1:18">
      <c r="A30" s="228" t="s">
        <v>49</v>
      </c>
      <c r="B30" s="33">
        <f>IF(ISERROR(TER_ander_ele_kWh/1000),0,TER_ander_ele_kWh/1000)</f>
        <v>3567.4766383402102</v>
      </c>
      <c r="C30" s="39">
        <f>IF(ISERROR(B30*3.6/1000000/'E Balans VL '!Z14*100),0,B30*3.6/1000000/'E Balans VL '!Z14*100)</f>
        <v>0.1442938874398482</v>
      </c>
      <c r="D30" s="233" t="s">
        <v>691</v>
      </c>
      <c r="F30" s="6"/>
    </row>
    <row r="31" spans="1:18">
      <c r="A31" s="228" t="s">
        <v>54</v>
      </c>
      <c r="B31" s="33">
        <f>IF(ISERROR(TER_onderwijs_ele_kWh/1000),0,TER_onderwijs_ele_kWh/1000)</f>
        <v>353.21030103195204</v>
      </c>
      <c r="C31" s="39">
        <f>IF(ISERROR(B31*3.6/1000000/'E Balans VL '!Z11*100),0,B31*3.6/1000000/'E Balans VL '!Z11*100)</f>
        <v>9.704231721743789E-2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16925.717961317561</v>
      </c>
      <c r="C5" s="17">
        <f>IF(ISERROR('Eigen informatie GS &amp; warmtenet'!B61),0,'Eigen informatie GS &amp; warmtenet'!B61)</f>
        <v>0</v>
      </c>
      <c r="D5" s="30">
        <f>SUM(D6:D15)</f>
        <v>20717.62457749826</v>
      </c>
      <c r="E5" s="17">
        <f>SUM(E6:E15)</f>
        <v>83.758932271303081</v>
      </c>
      <c r="F5" s="17">
        <f>SUM(F6:F15)</f>
        <v>2006.8835856620497</v>
      </c>
      <c r="G5" s="18"/>
      <c r="H5" s="17"/>
      <c r="I5" s="17"/>
      <c r="J5" s="17">
        <f>SUM(J6:J15)</f>
        <v>9.5651419590553832</v>
      </c>
      <c r="K5" s="17"/>
      <c r="L5" s="17"/>
      <c r="M5" s="17"/>
      <c r="N5" s="17">
        <f>SUM(N6:N15)</f>
        <v>345.93612378563114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7634.2408022514201</v>
      </c>
      <c r="C8" s="33"/>
      <c r="D8" s="37">
        <f>IF( ISERROR(IND_metaal_Gas_kWH/1000),0,IND_metaal_Gas_kWH/1000)*0.903</f>
        <v>16450.059432507744</v>
      </c>
      <c r="E8" s="33">
        <f>C30*'E Balans VL '!I18/100/3.6*1000000</f>
        <v>38.493174142139893</v>
      </c>
      <c r="F8" s="33">
        <f>C30*'E Balans VL '!L18/100/3.6*1000000+C30*'E Balans VL '!N18/100/3.6*1000000</f>
        <v>521.58693180702653</v>
      </c>
      <c r="G8" s="34"/>
      <c r="H8" s="33"/>
      <c r="I8" s="33"/>
      <c r="J8" s="40">
        <f>C30*'E Balans VL '!D18/100/3.6*1000000+C30*'E Balans VL '!E18/100/3.6*1000000</f>
        <v>6.768405680325503</v>
      </c>
      <c r="K8" s="33"/>
      <c r="L8" s="33"/>
      <c r="M8" s="33"/>
      <c r="N8" s="33">
        <f>C30*'E Balans VL '!Y18/100/3.6*1000000</f>
        <v>101.45910556753176</v>
      </c>
      <c r="O8" s="33"/>
      <c r="P8" s="33"/>
      <c r="R8" s="32"/>
    </row>
    <row r="9" spans="1:18">
      <c r="A9" s="6" t="s">
        <v>32</v>
      </c>
      <c r="B9" s="37">
        <f t="shared" si="0"/>
        <v>2170.4373465164804</v>
      </c>
      <c r="C9" s="33"/>
      <c r="D9" s="37">
        <f>IF( ISERROR(IND_andere_gas_kWh/1000),0,IND_andere_gas_kWh/1000)*0.903</f>
        <v>1596.5705645471239</v>
      </c>
      <c r="E9" s="33">
        <f>C31*'E Balans VL '!I19/100/3.6*1000000</f>
        <v>6.8417314845568482</v>
      </c>
      <c r="F9" s="33">
        <f>C31*'E Balans VL '!L19/100/3.6*1000000+C31*'E Balans VL '!N19/100/3.6*1000000</f>
        <v>1328.650457739408</v>
      </c>
      <c r="G9" s="34"/>
      <c r="H9" s="33"/>
      <c r="I9" s="33"/>
      <c r="J9" s="40">
        <f>C31*'E Balans VL '!D19/100/3.6*1000000+C31*'E Balans VL '!E19/100/3.6*1000000</f>
        <v>0</v>
      </c>
      <c r="K9" s="33"/>
      <c r="L9" s="33"/>
      <c r="M9" s="33"/>
      <c r="N9" s="33">
        <f>C31*'E Balans VL '!Y19/100/3.6*1000000</f>
        <v>91.009385004548065</v>
      </c>
      <c r="O9" s="33"/>
      <c r="P9" s="33"/>
      <c r="R9" s="32"/>
    </row>
    <row r="10" spans="1:18">
      <c r="A10" s="6" t="s">
        <v>40</v>
      </c>
      <c r="B10" s="37">
        <f t="shared" si="0"/>
        <v>2131.2883680877003</v>
      </c>
      <c r="C10" s="33"/>
      <c r="D10" s="37">
        <f>IF( ISERROR(IND_voed_gas_kWh/1000),0,IND_voed_gas_kWh/1000)*0.903</f>
        <v>1509.4849055286779</v>
      </c>
      <c r="E10" s="33">
        <f>C32*'E Balans VL '!I20/100/3.6*1000000</f>
        <v>3.3966751008741802</v>
      </c>
      <c r="F10" s="33">
        <f>C32*'E Balans VL '!L20/100/3.6*1000000+C32*'E Balans VL '!N20/100/3.6*1000000</f>
        <v>34.628258495089639</v>
      </c>
      <c r="G10" s="34"/>
      <c r="H10" s="33"/>
      <c r="I10" s="33"/>
      <c r="J10" s="40">
        <f>C32*'E Balans VL '!D20/100/3.6*1000000+C32*'E Balans VL '!E20/100/3.6*1000000</f>
        <v>0</v>
      </c>
      <c r="K10" s="33"/>
      <c r="L10" s="33"/>
      <c r="M10" s="33"/>
      <c r="N10" s="33">
        <f>C32*'E Balans VL '!Y20/100/3.6*1000000</f>
        <v>67.316731110991498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373.75246272695097</v>
      </c>
      <c r="C12" s="33"/>
      <c r="D12" s="37">
        <f>IF( ISERROR(IND_min_gas_kWh/1000),0,IND_min_gas_kWh/1000)*0.903</f>
        <v>195.60979153284131</v>
      </c>
      <c r="E12" s="33">
        <f>C34*'E Balans VL '!I22/100/3.6*1000000</f>
        <v>1.61732811249876</v>
      </c>
      <c r="F12" s="33">
        <f>C34*'E Balans VL '!L22/100/3.6*1000000+C34*'E Balans VL '!N22/100/3.6*1000000</f>
        <v>14.270330397923503</v>
      </c>
      <c r="G12" s="34"/>
      <c r="H12" s="33"/>
      <c r="I12" s="33"/>
      <c r="J12" s="40">
        <f>C34*'E Balans VL '!D22/100/3.6*1000000+C34*'E Balans VL '!E22/100/3.6*1000000</f>
        <v>0</v>
      </c>
      <c r="K12" s="33"/>
      <c r="L12" s="33"/>
      <c r="M12" s="33"/>
      <c r="N12" s="33">
        <f>C34*'E Balans VL '!Y22/100/3.6*1000000</f>
        <v>63.753750834020224</v>
      </c>
      <c r="O12" s="33"/>
      <c r="P12" s="33"/>
      <c r="R12" s="32"/>
    </row>
    <row r="13" spans="1:18">
      <c r="A13" s="6" t="s">
        <v>38</v>
      </c>
      <c r="B13" s="37">
        <f t="shared" si="0"/>
        <v>3290.50873449858</v>
      </c>
      <c r="C13" s="33"/>
      <c r="D13" s="37">
        <f>IF( ISERROR(IND_papier_gas_kWh/1000),0,IND_papier_gas_kWh/1000)*0.903</f>
        <v>923.4569557705147</v>
      </c>
      <c r="E13" s="33">
        <f>C35*'E Balans VL '!I23/100/3.6*1000000</f>
        <v>0</v>
      </c>
      <c r="F13" s="33">
        <f>C35*'E Balans VL '!L23/100/3.6*1000000+C35*'E Balans VL '!N23/100/3.6*1000000</f>
        <v>0.14256013884877311</v>
      </c>
      <c r="G13" s="34"/>
      <c r="H13" s="33"/>
      <c r="I13" s="33"/>
      <c r="J13" s="40">
        <f>C35*'E Balans VL '!D23/100/3.6*1000000+C35*'E Balans VL '!E23/100/3.6*1000000</f>
        <v>9.066920893385548E-2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1325.4902472364299</v>
      </c>
      <c r="C15" s="33"/>
      <c r="D15" s="37">
        <f>IF( ISERROR(IND_rest_gas_kWh/1000),0,IND_rest_gas_kWh/1000)*0.903</f>
        <v>42.442927611355422</v>
      </c>
      <c r="E15" s="33">
        <f>C37*'E Balans VL '!I15/100/3.6*1000000</f>
        <v>33.410023431233398</v>
      </c>
      <c r="F15" s="33">
        <f>C37*'E Balans VL '!L15/100/3.6*1000000+C37*'E Balans VL '!N15/100/3.6*1000000</f>
        <v>107.60504708375325</v>
      </c>
      <c r="G15" s="34"/>
      <c r="H15" s="33"/>
      <c r="I15" s="33"/>
      <c r="J15" s="40">
        <f>C37*'E Balans VL '!D15/100/3.6*1000000+C37*'E Balans VL '!E15/100/3.6*1000000</f>
        <v>2.7060670697960245</v>
      </c>
      <c r="K15" s="33"/>
      <c r="L15" s="33"/>
      <c r="M15" s="33"/>
      <c r="N15" s="33">
        <f>C37*'E Balans VL '!Y15/100/3.6*1000000</f>
        <v>22.397151268539591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16925.717961317561</v>
      </c>
      <c r="C18" s="21">
        <f>C5+C16</f>
        <v>0</v>
      </c>
      <c r="D18" s="21">
        <f>MAX((D5+D16),0)</f>
        <v>20717.62457749826</v>
      </c>
      <c r="E18" s="21">
        <f>MAX((E5+E16),0)</f>
        <v>83.758932271303081</v>
      </c>
      <c r="F18" s="21">
        <f>MAX((F5+F16),0)</f>
        <v>2006.8835856620497</v>
      </c>
      <c r="G18" s="21"/>
      <c r="H18" s="21"/>
      <c r="I18" s="21"/>
      <c r="J18" s="21">
        <f>MAX((J5+J16),0)</f>
        <v>9.5651419590553832</v>
      </c>
      <c r="K18" s="21"/>
      <c r="L18" s="21">
        <f>MAX((L5+L16),0)</f>
        <v>0</v>
      </c>
      <c r="M18" s="21"/>
      <c r="N18" s="21">
        <f>MAX((N5+N16),0)</f>
        <v>345.93612378563114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0.18645067134713808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3155.8114769199724</v>
      </c>
      <c r="C22" s="23">
        <f ca="1">C18*C20</f>
        <v>0</v>
      </c>
      <c r="D22" s="23">
        <f>D18*D20</f>
        <v>4184.9601646546489</v>
      </c>
      <c r="E22" s="23">
        <f>E18*E20</f>
        <v>19.0132776255858</v>
      </c>
      <c r="F22" s="23">
        <f>F18*F20</f>
        <v>535.83791737176728</v>
      </c>
      <c r="G22" s="23"/>
      <c r="H22" s="23"/>
      <c r="I22" s="23"/>
      <c r="J22" s="23">
        <f>J18*J20</f>
        <v>3.3860602535056055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7634.2408022514201</v>
      </c>
      <c r="C30" s="39">
        <f>IF(ISERROR(B30*3.6/1000000/'E Balans VL '!Z18*100),0,B30*3.6/1000000/'E Balans VL '!Z18*100)</f>
        <v>0.37894650776316857</v>
      </c>
      <c r="D30" s="233" t="s">
        <v>691</v>
      </c>
    </row>
    <row r="31" spans="1:18">
      <c r="A31" s="6" t="s">
        <v>32</v>
      </c>
      <c r="B31" s="37">
        <f>IF( ISERROR(IND_ander_ele_kWh/1000),0,IND_ander_ele_kWh/1000)</f>
        <v>2170.4373465164804</v>
      </c>
      <c r="C31" s="39">
        <f>IF(ISERROR(B31*3.6/1000000/'E Balans VL '!Z19*100),0,B31*3.6/1000000/'E Balans VL '!Z19*100)</f>
        <v>7.3241138435793107E-2</v>
      </c>
      <c r="D31" s="233" t="s">
        <v>691</v>
      </c>
    </row>
    <row r="32" spans="1:18">
      <c r="A32" s="168" t="s">
        <v>40</v>
      </c>
      <c r="B32" s="37">
        <f>IF( ISERROR(IND_voed_ele_kWh/1000),0,IND_voed_ele_kWh/1000)</f>
        <v>2131.2883680877003</v>
      </c>
      <c r="C32" s="39">
        <f>IF(ISERROR(B32*3.6/1000000/'E Balans VL '!Z20*100),0,B32*3.6/1000000/'E Balans VL '!Z20*100)</f>
        <v>5.0051843300543762E-2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373.75246272695097</v>
      </c>
      <c r="C34" s="39">
        <f>IF(ISERROR(B34*3.6/1000000/'E Balans VL '!Z22*100),0,B34*3.6/1000000/'E Balans VL '!Z22*100)</f>
        <v>5.3024545396617273E-2</v>
      </c>
      <c r="D34" s="233" t="s">
        <v>691</v>
      </c>
    </row>
    <row r="35" spans="1:5">
      <c r="A35" s="168" t="s">
        <v>38</v>
      </c>
      <c r="B35" s="37">
        <f>IF( ISERROR(IND_papier_ele_kWh/1000),0,IND_papier_ele_kWh/1000)</f>
        <v>3290.50873449858</v>
      </c>
      <c r="C35" s="39">
        <f>IF(ISERROR(B35*3.6/1000000/'E Balans VL '!Z22*100),0,B35*3.6/1000000/'E Balans VL '!Z22*100)</f>
        <v>0.46682697017531705</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1325.4902472364299</v>
      </c>
      <c r="C37" s="39">
        <f>IF(ISERROR(B37*3.6/1000000/'E Balans VL '!Z15*100),0,B37*3.6/1000000/'E Balans VL '!Z15*100)</f>
        <v>4.9673134093983313E-3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136.524721327957</v>
      </c>
      <c r="C5" s="17">
        <f>'Eigen informatie GS &amp; warmtenet'!B62</f>
        <v>0</v>
      </c>
      <c r="D5" s="30">
        <f>IF(ISERROR(SUM(LB_lb_gas_kWh,LB_rest_gas_kWh)/1000),0,SUM(LB_lb_gas_kWh,LB_rest_gas_kWh)/1000)*0.903</f>
        <v>108.32303519502787</v>
      </c>
      <c r="E5" s="17">
        <f>B17*'E Balans VL '!I25/3.6*1000000/100</f>
        <v>5.091424457652284</v>
      </c>
      <c r="F5" s="17">
        <f>B17*('E Balans VL '!L25/3.6*1000000+'E Balans VL '!N25/3.6*1000000)/100</f>
        <v>442.93895121682101</v>
      </c>
      <c r="G5" s="18"/>
      <c r="H5" s="17"/>
      <c r="I5" s="17"/>
      <c r="J5" s="17">
        <f>('E Balans VL '!D25+'E Balans VL '!E25)/3.6*1000000*landbouw!B17/100</f>
        <v>35.838413358459341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136.524721327957</v>
      </c>
      <c r="C8" s="21">
        <f>C5+C6</f>
        <v>0</v>
      </c>
      <c r="D8" s="21">
        <f>MAX((D5+D6),0)</f>
        <v>108.32303519502787</v>
      </c>
      <c r="E8" s="21">
        <f>MAX((E5+E6),0)</f>
        <v>5.091424457652284</v>
      </c>
      <c r="F8" s="21">
        <f>MAX((F5+F6),0)</f>
        <v>442.93895121682101</v>
      </c>
      <c r="G8" s="21"/>
      <c r="H8" s="21"/>
      <c r="I8" s="21"/>
      <c r="J8" s="21">
        <f>MAX((J5+J6),0)</f>
        <v>35.838413358459341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0.18645067134713808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25.455125947078521</v>
      </c>
      <c r="C12" s="23">
        <f ca="1">C8*C10</f>
        <v>0</v>
      </c>
      <c r="D12" s="23">
        <f>D8*D10</f>
        <v>21.88125310939563</v>
      </c>
      <c r="E12" s="23">
        <f>E8*E10</f>
        <v>1.1557533518870684</v>
      </c>
      <c r="F12" s="23">
        <f>F8*F10</f>
        <v>118.26469997489122</v>
      </c>
      <c r="G12" s="23"/>
      <c r="H12" s="23"/>
      <c r="I12" s="23"/>
      <c r="J12" s="23">
        <f>J8*J10</f>
        <v>12.686798328894605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1.8751314210628801E-2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69.791474047493679</v>
      </c>
      <c r="C26" s="243">
        <f>B26*'GWP N2O_CH4'!B5</f>
        <v>1465.6209549973673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9.7628582195815454</v>
      </c>
      <c r="C27" s="243">
        <f>B27*'GWP N2O_CH4'!B5</f>
        <v>205.02002261121245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1.1258872652174445</v>
      </c>
      <c r="C28" s="243">
        <f>B28*'GWP N2O_CH4'!B4</f>
        <v>349.02505221740779</v>
      </c>
      <c r="D28" s="50"/>
    </row>
    <row r="29" spans="1:4">
      <c r="A29" s="41" t="s">
        <v>272</v>
      </c>
      <c r="B29" s="243">
        <f>B34*'ha_N2O bodem landbouw'!B4</f>
        <v>5.6507563485240508</v>
      </c>
      <c r="C29" s="243">
        <f>B29*'GWP N2O_CH4'!B4</f>
        <v>1751.7344680424558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1.2878235093257207E-3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1.8326294839903173E-3</v>
      </c>
      <c r="C5" s="434" t="s">
        <v>210</v>
      </c>
      <c r="D5" s="419">
        <f>SUM(D6:D11)</f>
        <v>3.2038088666373836E-3</v>
      </c>
      <c r="E5" s="419">
        <f>SUM(E6:E11)</f>
        <v>1.9245360166166808E-3</v>
      </c>
      <c r="F5" s="432" t="s">
        <v>210</v>
      </c>
      <c r="G5" s="419">
        <f>SUM(G6:G11)</f>
        <v>0.70499783202793798</v>
      </c>
      <c r="H5" s="419">
        <f>SUM(H6:H11)</f>
        <v>0.19834539640871549</v>
      </c>
      <c r="I5" s="434" t="s">
        <v>210</v>
      </c>
      <c r="J5" s="434" t="s">
        <v>210</v>
      </c>
      <c r="K5" s="434" t="s">
        <v>210</v>
      </c>
      <c r="L5" s="434" t="s">
        <v>210</v>
      </c>
      <c r="M5" s="419">
        <f>SUM(M6:M11)</f>
        <v>5.3480683645510882E-2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5.8338697639512263E-7</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1.0137431372935636E-6</v>
      </c>
      <c r="E6" s="885">
        <f>vkm_GW_PW*SUMIFS(TableVerdeelsleutelVkm[LPG],TableVerdeelsleutelVkm[Voertuigtype],"Lichte voertuigen")*SUMIFS(TableECFTransport[EnergieConsumptieFactor (PJ per km)],TableECFTransport[Index],CONCATENATE($A6,"_LPG_LPG"))</f>
        <v>5.6370731392458618E-7</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1.6939940753137175E-4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6.1763590293236991E-5</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1.3831053532444154E-5</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7.3194604677779167E-10</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3.029341540336445E-5</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3.0817996535573881E-10</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1.7055659906634611E-6</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7.5755236577070039E-4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1.6902070142598548E-3</v>
      </c>
      <c r="E8" s="422">
        <f>vkm_NGW_PW*SUMIFS(TableVerdeelsleutelVkm[LPG],TableVerdeelsleutelVkm[Voertuigtype],"Lichte voertuigen")*SUMIFS(TableECFTransport[EnergieConsumptieFactor (PJ per km)],TableECFTransport[Index],CONCATENATE($A8,"_LPG_LPG"))</f>
        <v>9.002007535491123E-4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0.24895856499552824</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0.10171710624221743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2.1087817639549054E-2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8.4915733511537042E-7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4.5257925213895295E-2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4.3154883066009665E-7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2.5480889569906478E-3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1.0702961920409882E-3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1.5125881092402354E-3</v>
      </c>
      <c r="E10" s="422">
        <f>vkm_SW_PW*SUMIFS(TableVerdeelsleutelVkm[LPG],TableVerdeelsleutelVkm[Voertuigtype],"Lichte voertuigen")*SUMIFS(TableECFTransport[EnergieConsumptieFactor (PJ per km)],TableECFTransport[Index],CONCATENATE($A10,"_LPG_LPG"))</f>
        <v>1.023771555753644E-3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0.27968974306188432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9.6564643958410537E-2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2.2459816043982006E-2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3.3476499210714155E-6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0.1308919059336954</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1.4507607836413059E-6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7.3694243854660682E-3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509.06374555286595</v>
      </c>
      <c r="C14" s="21"/>
      <c r="D14" s="21">
        <f t="shared" ref="D14:M14" si="0">((D5)*10^9/3600)+D12</f>
        <v>889.94690739927319</v>
      </c>
      <c r="E14" s="21">
        <f t="shared" si="0"/>
        <v>534.59333794907798</v>
      </c>
      <c r="F14" s="21"/>
      <c r="G14" s="21">
        <f t="shared" si="0"/>
        <v>195832.73111887166</v>
      </c>
      <c r="H14" s="21">
        <f t="shared" si="0"/>
        <v>55095.943446865414</v>
      </c>
      <c r="I14" s="21"/>
      <c r="J14" s="21"/>
      <c r="K14" s="21"/>
      <c r="L14" s="21"/>
      <c r="M14" s="21">
        <f t="shared" si="0"/>
        <v>14855.745457086356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0.18645067134713808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94.915277116820533</v>
      </c>
      <c r="C18" s="23"/>
      <c r="D18" s="23">
        <f t="shared" ref="D18:M18" si="1">D14*D16</f>
        <v>179.7692752946532</v>
      </c>
      <c r="E18" s="23">
        <f t="shared" si="1"/>
        <v>121.35268771444071</v>
      </c>
      <c r="F18" s="23"/>
      <c r="G18" s="23">
        <f t="shared" si="1"/>
        <v>52287.339208738733</v>
      </c>
      <c r="H18" s="23">
        <f t="shared" si="1"/>
        <v>13718.889918269488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1.2733738137664572E-4</v>
      </c>
      <c r="C50" s="315">
        <f t="shared" ref="C50:P50" si="2">SUM(C51:C52)</f>
        <v>0</v>
      </c>
      <c r="D50" s="315">
        <f t="shared" si="2"/>
        <v>0</v>
      </c>
      <c r="E50" s="315">
        <f t="shared" si="2"/>
        <v>0</v>
      </c>
      <c r="F50" s="315">
        <f t="shared" si="2"/>
        <v>0</v>
      </c>
      <c r="G50" s="315">
        <f t="shared" si="2"/>
        <v>9.0891127236934072E-3</v>
      </c>
      <c r="H50" s="315">
        <f t="shared" si="2"/>
        <v>0</v>
      </c>
      <c r="I50" s="315">
        <f t="shared" si="2"/>
        <v>0</v>
      </c>
      <c r="J50" s="315">
        <f t="shared" si="2"/>
        <v>0</v>
      </c>
      <c r="K50" s="315">
        <f t="shared" si="2"/>
        <v>0</v>
      </c>
      <c r="L50" s="315">
        <f t="shared" si="2"/>
        <v>0</v>
      </c>
      <c r="M50" s="315">
        <f t="shared" si="2"/>
        <v>5.0188802392401644E-4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1.2733738137664572E-4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9.0891127236934072E-3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5.0188802392401644E-4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35.371494826846032</v>
      </c>
      <c r="C54" s="21">
        <f t="shared" ref="C54:P54" si="3">(C50)*10^9/3600</f>
        <v>0</v>
      </c>
      <c r="D54" s="21">
        <f t="shared" si="3"/>
        <v>0</v>
      </c>
      <c r="E54" s="21">
        <f t="shared" si="3"/>
        <v>0</v>
      </c>
      <c r="F54" s="21">
        <f t="shared" si="3"/>
        <v>0</v>
      </c>
      <c r="G54" s="21">
        <f t="shared" si="3"/>
        <v>2524.7535343592799</v>
      </c>
      <c r="H54" s="21">
        <f t="shared" si="3"/>
        <v>0</v>
      </c>
      <c r="I54" s="21">
        <f t="shared" si="3"/>
        <v>0</v>
      </c>
      <c r="J54" s="21">
        <f t="shared" si="3"/>
        <v>0</v>
      </c>
      <c r="K54" s="21">
        <f t="shared" si="3"/>
        <v>0</v>
      </c>
      <c r="L54" s="21">
        <f t="shared" si="3"/>
        <v>0</v>
      </c>
      <c r="M54" s="21">
        <f t="shared" si="3"/>
        <v>139.41333997889345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0.18645067134713808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6.5950389570172643</v>
      </c>
      <c r="C58" s="23">
        <f t="shared" ref="C58:P58" ca="1" si="4">C54*C56</f>
        <v>0</v>
      </c>
      <c r="D58" s="23">
        <f t="shared" si="4"/>
        <v>0</v>
      </c>
      <c r="E58" s="23">
        <f t="shared" si="4"/>
        <v>0</v>
      </c>
      <c r="F58" s="23">
        <f t="shared" si="4"/>
        <v>0</v>
      </c>
      <c r="G58" s="23">
        <f t="shared" si="4"/>
        <v>674.10919367392773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7460.2904525203412</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8024.9060082366077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15485.19646075695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2021-06-29T14:26:50Z</dcterms:modified>
</cp:coreProperties>
</file>