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D6" i="17"/>
  <c r="D8" i="17" s="1"/>
  <c r="D12" i="17" s="1"/>
  <c r="E54" i="14" s="1"/>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29" i="20"/>
  <c r="C17" i="19"/>
  <c r="C19" i="19" s="1"/>
  <c r="D39" i="14" s="1"/>
  <c r="C17" i="49"/>
  <c r="C18" i="15"/>
  <c r="C20" i="15" s="1"/>
  <c r="D40" i="14" s="1"/>
  <c r="C20" i="16"/>
  <c r="C22" i="16" s="1"/>
  <c r="D43"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<sst xmlns="http://schemas.openxmlformats.org/spreadsheetml/2006/main" count="2492" uniqueCount="909">
  <si>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</si>
  <si>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</si>
  <si>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</si>
  <si>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</si>
  <si>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</si>
  <si>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</si>
  <si>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</si>
  <si>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</si>
  <si>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</si>
  <si>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</si>
  <si>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</si>
  <si>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</si>
  <si>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</si>
  <si>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</si>
  <si>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</si>
  <si>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</si>
  <si>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</si>
  <si>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</si>
  <si>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</si>
  <si>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</si>
  <si>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</si>
  <si>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</si>
  <si>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</si>
  <si>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</si>
  <si>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</si>
  <si>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</si>
  <si>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</si>
  <si>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</si>
  <si>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</si>
  <si>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</si>
  <si>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</si>
  <si>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</si>
  <si>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</si>
  <si>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</si>
  <si>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</si>
  <si>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</si>
  <si>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</si>
  <si>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</si>
  <si>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</si>
  <si>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</si>
  <si>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</si>
  <si>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</si>
  <si>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</si>
  <si>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</si>
  <si>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</si>
  <si>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</si>
  <si>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</si>
  <si>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</si>
  <si>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</si>
  <si>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</si>
  <si>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</si>
  <si>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</si>
  <si>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</si>
  <si>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</si>
  <si>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</si>
  <si>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</si>
  <si>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</si>
  <si>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</si>
  <si>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</si>
  <si>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</si>
  <si>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</si>
  <si>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</si>
  <si>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</si>
  <si>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</si>
  <si>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</si>
  <si>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</si>
  <si>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</si>
  <si>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</si>
  <si>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</si>
  <si>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</si>
  <si>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</si>
  <si>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</si>
  <si>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</si>
  <si>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</si>
  <si>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</si>
  <si>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</si>
  <si>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</si>
  <si>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</si>
  <si>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</si>
  <si>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</si>
  <si>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</si>
  <si>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</si>
  <si>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</si>
  <si>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</si>
  <si>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</si>
  <si>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</si>
  <si>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</si>
  <si>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</si>
  <si>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</si>
  <si>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</si>
  <si>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</si>
  <si>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</si>
  <si>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</si>
  <si>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</si>
  <si>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</si>
  <si>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</si>
  <si>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</si>
  <si>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</si>
  <si>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</si>
  <si>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</si>
  <si>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</si>
  <si>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</si>
  <si>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</si>
  <si>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</si>
  <si>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</si>
  <si>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</si>
  <si>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</si>
  <si>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</si>
  <si>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</si>
  <si>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</si>
  <si>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</si>
  <si>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</si>
  <si>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</si>
  <si>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</si>
  <si>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</si>
  <si>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</si>
  <si>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</si>
  <si>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</si>
  <si>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</si>
  <si>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</si>
  <si>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</si>
  <si>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</si>
  <si>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</si>
  <si>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</si>
  <si>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</si>
  <si>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</si>
  <si>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</si>
  <si>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</si>
  <si>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</si>
  <si>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</si>
  <si>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</si>
  <si>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</si>
  <si>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</si>
  <si>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</si>
  <si>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</si>
  <si>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</si>
  <si>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</si>
  <si>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</si>
  <si>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</si>
  <si>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</si>
  <si>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</si>
  <si>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</si>
  <si>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</si>
  <si>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</si>
  <si>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</si>
  <si>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</si>
  <si>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</si>
  <si>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</si>
  <si>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</si>
  <si>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</si>
  <si>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</si>
  <si>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</si>
  <si>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</si>
  <si>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</si>
  <si>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</si>
  <si>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</si>
  <si>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</si>
  <si>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</si>
  <si>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</si>
  <si>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</si>
  <si>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</si>
  <si>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</si>
  <si>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</si>
  <si>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</si>
  <si>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</si>
  <si>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</si>
  <si>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</si>
  <si>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</si>
  <si>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</si>
  <si>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</si>
  <si>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</si>
  <si>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</si>
  <si>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</si>
  <si>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</si>
  <si>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</si>
  <si>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</si>
  <si>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</si>
  <si>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</si>
  <si>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</si>
  <si>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</si>
  <si>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</si>
  <si>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</si>
  <si>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</si>
  <si>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</si>
  <si>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</si>
  <si>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</si>
  <si>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</si>
  <si>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</si>
  <si>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</si>
  <si>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</si>
  <si>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</si>
  <si>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</si>
  <si>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</si>
  <si>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</si>
  <si>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</si>
  <si>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</si>
  <si>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</si>
  <si>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</si>
  <si>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</si>
  <si>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</si>
  <si>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</si>
  <si>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</si>
  <si>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</si>
  <si>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</si>
  <si>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</si>
  <si>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</si>
  <si>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</si>
  <si>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</si>
  <si>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</si>
  <si>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</si>
  <si>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</si>
  <si>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</si>
  <si>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</si>
  <si>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</si>
  <si>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</si>
  <si>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</si>
  <si>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</si>
  <si>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</si>
  <si>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</si>
  <si>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</si>
  <si>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</si>
  <si>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</si>
  <si>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</si>
  <si>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</si>
  <si>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</si>
  <si>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</si>
  <si>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</si>
  <si>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</si>
  <si>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</si>
  <si>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</si>
  <si>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</si>
  <si>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</si>
  <si>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</si>
  <si>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</si>
  <si>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</si>
  <si>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</si>
  <si>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</si>
  <si>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</si>
  <si>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</si>
  <si>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</si>
  <si>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</si>
  <si>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</si>
  <si>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</si>
  <si>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</si>
  <si>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</si>
  <si>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</si>
  <si>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</si>
  <si>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</si>
  <si>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</si>
  <si>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</si>
  <si>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</si>
  <si>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</si>
  <si>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</si>
  <si>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</si>
  <si>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</si>
  <si>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</si>
  <si>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</si>
  <si>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</si>
  <si>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</si>
  <si>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</si>
  <si>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</si>
  <si>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</si>
  <si>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</si>
  <si>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</si>
  <si>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</si>
  <si>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</si>
  <si>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</si>
  <si>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</si>
  <si>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</si>
  <si>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</si>
  <si>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</si>
  <si>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</si>
  <si>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</si>
  <si>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</si>
  <si>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</si>
  <si>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</si>
  <si>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</si>
  <si>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</si>
  <si>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</si>
  <si>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</si>
  <si>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</si>
  <si>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</si>
  <si>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</si>
  <si>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</si>
  <si>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</si>
  <si>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</si>
  <si>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</si>
  <si>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</si>
  <si>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</si>
  <si>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</si>
  <si>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</si>
  <si>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</si>
  <si>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</si>
  <si>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</si>
  <si>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</si>
  <si>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</si>
  <si>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</si>
  <si>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</si>
  <si>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</si>
  <si>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</si>
  <si>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</si>
  <si>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</si>
  <si>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</si>
  <si>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</si>
  <si>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</si>
  <si>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</si>
  <si>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</si>
  <si>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</si>
  <si>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</si>
  <si>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</si>
  <si>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</si>
  <si>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</si>
  <si>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</si>
  <si>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</si>
  <si>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</si>
  <si>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</si>
  <si>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</si>
  <si>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</si>
  <si>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</si>
  <si>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</si>
  <si>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</si>
  <si>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</si>
  <si>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</si>
  <si>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</si>
  <si>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</si>
  <si>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</si>
  <si>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</si>
  <si>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</si>
  <si>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</si>
  <si>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</si>
  <si>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</si>
  <si>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</si>
  <si>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</si>
  <si>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</si>
  <si>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</si>
  <si>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</si>
  <si>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</si>
  <si>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</si>
  <si>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</si>
  <si>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</si>
  <si>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</si>
  <si>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</si>
  <si>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</si>
  <si>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</si>
  <si>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</si>
  <si>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</si>
  <si>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</si>
  <si>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</si>
  <si>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</si>
  <si>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</si>
  <si>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</si>
  <si>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</si>
  <si>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</si>
  <si>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</si>
  <si>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</si>
  <si>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</si>
  <si>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</si>
  <si>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</si>
  <si>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</si>
  <si>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</si>
  <si>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</si>
  <si>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</si>
  <si>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</si>
  <si>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</si>
  <si>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</si>
  <si>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</si>
  <si>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</si>
  <si>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</si>
  <si>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</si>
  <si>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</si>
  <si>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</si>
  <si>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</si>
  <si>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</si>
  <si>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</si>
  <si>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</si>
  <si>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</si>
  <si>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</si>
  <si>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</si>
  <si>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</si>
  <si>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</si>
  <si>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</si>
  <si>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</si>
  <si>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</si>
  <si>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</si>
  <si>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</si>
  <si>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</si>
  <si>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</si>
  <si>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</si>
  <si>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</si>
  <si>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</si>
  <si>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</si>
  <si>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</si>
  <si>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</si>
  <si>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</si>
  <si>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</si>
  <si>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</si>
  <si>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</si>
  <si>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</si>
  <si>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</si>
  <si>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</si>
  <si>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</si>
  <si>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</si>
  <si>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</si>
  <si>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</si>
  <si>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</si>
  <si>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</si>
  <si>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</si>
  <si>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</si>
  <si>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</si>
  <si>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</si>
  <si>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</si>
  <si>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</si>
  <si>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</si>
  <si>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</si>
  <si>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</si>
  <si>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</si>
  <si>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</si>
  <si>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</si>
  <si>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</si>
  <si>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</si>
  <si>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</si>
  <si>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</si>
  <si>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</si>
  <si>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</si>
  <si>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</si>
  <si>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</si>
  <si>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</si>
  <si>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</si>
  <si>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</si>
  <si>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</si>
  <si>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</si>
  <si>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</si>
  <si>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</si>
  <si>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</si>
  <si>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</si>
  <si>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</si>
  <si>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</si>
  <si>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</si>
  <si>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</si>
  <si>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</si>
  <si>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</si>
  <si>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</si>
  <si>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</si>
  <si>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</si>
  <si>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</si>
  <si>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</si>
  <si>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</si>
  <si>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</si>
  <si>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</si>
  <si>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</si>
  <si>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</si>
  <si>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</si>
  <si>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</si>
  <si>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</si>
  <si>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</si>
  <si>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</si>
  <si>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</si>
  <si>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</si>
  <si>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</si>
  <si>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</si>
  <si>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</si>
  <si>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</si>
  <si>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</si>
  <si>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</si>
  <si>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</si>
  <si>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</si>
  <si>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</si>
  <si>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</si>
  <si>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</si>
  <si>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</si>
  <si>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</si>
  <si>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</si>
  <si>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</si>
  <si>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</si>
  <si>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</si>
  <si>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</si>
  <si>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</si>
  <si>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</si>
  <si>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</si>
  <si>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</si>
  <si>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</si>
  <si>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</si>
  <si>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</si>
  <si>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</si>
  <si>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</si>
  <si>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</si>
  <si>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</si>
  <si>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</si>
  <si>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</si>
  <si>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</si>
  <si>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</si>
  <si>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</si>
  <si>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</si>
  <si>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</si>
  <si>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</si>
  <si>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</si>
  <si>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</si>
  <si>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</si>
  <si>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</si>
  <si>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</si>
  <si>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</si>
  <si>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</si>
  <si>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</si>
  <si>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</si>
  <si>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</si>
  <si>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</si>
  <si>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</si>
  <si>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</si>
  <si>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</si>
  <si>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</si>
  <si>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</si>
  <si>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</si>
  <si>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</si>
  <si>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</si>
  <si>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</si>
  <si>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</si>
  <si>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</si>
  <si>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</si>
  <si>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</si>
  <si>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</si>
  <si>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</si>
  <si>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</si>
  <si>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</si>
  <si>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</si>
  <si>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</si>
  <si>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</si>
  <si>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</si>
  <si>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</si>
  <si>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</si>
  <si>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</si>
  <si>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</si>
  <si>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</si>
  <si>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</si>
  <si>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</si>
  <si>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</si>
  <si>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</si>
  <si>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</si>
  <si>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</si>
  <si>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</si>
  <si>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</si>
  <si>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</si>
  <si>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</si>
  <si>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</si>
  <si>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</si>
  <si>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</si>
  <si>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</si>
  <si>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</si>
  <si>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</si>
  <si>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</si>
  <si>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</si>
  <si>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</si>
  <si>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</si>
  <si>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</si>
  <si>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</si>
  <si>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</si>
  <si>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</si>
  <si>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</si>
  <si>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</si>
  <si>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</si>
  <si>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</si>
  <si>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</si>
  <si>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</si>
  <si>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</si>
  <si>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</si>
  <si>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</si>
  <si>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</si>
  <si>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</si>
  <si>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</si>
  <si>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</si>
  <si>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</si>
  <si>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</si>
  <si>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</si>
  <si>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</si>
  <si>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</si>
  <si>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</si>
  <si>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</si>
  <si>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</si>
  <si>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</si>
  <si>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</si>
  <si>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</si>
  <si>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</si>
  <si>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</si>
  <si>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</si>
  <si>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</si>
  <si>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</si>
  <si>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</si>
  <si>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</si>
  <si>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</si>
  <si>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</si>
  <si>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</si>
  <si>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</si>
  <si>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</si>
  <si>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</si>
  <si>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</si>
  <si>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</si>
  <si>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</si>
  <si>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</si>
  <si>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</si>
  <si>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</si>
  <si>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</si>
  <si>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</si>
  <si>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</si>
  <si>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</si>
  <si>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</si>
  <si>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</si>
  <si>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</si>
  <si>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</si>
  <si>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</si>
  <si>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</si>
  <si>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</si>
  <si>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</si>
  <si>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</si>
  <si>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</si>
  <si>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</si>
  <si>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</si>
  <si>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</si>
  <si>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</si>
  <si>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</si>
  <si>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</si>
  <si>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</si>
  <si>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</si>
  <si>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</si>
  <si>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</si>
  <si>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</si>
  <si>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</si>
  <si>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</si>
  <si>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</si>
  <si>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</si>
  <si>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</si>
  <si>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</si>
  <si>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</si>
  <si>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</si>
  <si>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</si>
  <si>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</si>
  <si>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</si>
  <si>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</si>
  <si>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</si>
  <si>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</si>
  <si>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</si>
  <si>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</si>
  <si>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</si>
  <si>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</si>
  <si>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</si>
  <si>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</si>
  <si>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</si>
  <si>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</si>
  <si>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</si>
  <si>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</si>
  <si>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</si>
  <si>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</si>
  <si>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</si>
  <si>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</si>
  <si>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</si>
  <si>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</si>
  <si>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</si>
  <si>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</si>
  <si>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</si>
  <si>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</si>
  <si>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</si>
  <si>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</si>
  <si>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</si>
  <si>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</si>
  <si>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</si>
  <si>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</si>
  <si>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</si>
  <si>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</si>
  <si>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</si>
  <si>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</si>
  <si>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</si>
  <si>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</si>
  <si>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</si>
  <si>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</si>
  <si>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</si>
  <si>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</si>
  <si>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</si>
  <si>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</si>
  <si>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</si>
  <si>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</si>
  <si>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</si>
  <si>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</si>
  <si>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</si>
  <si>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</si>
  <si>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</si>
  <si>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</si>
  <si>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</si>
  <si>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</si>
  <si>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</si>
  <si>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</si>
  <si>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</si>
  <si>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</si>
  <si>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</si>
  <si>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</si>
  <si>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</si>
  <si>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</si>
  <si>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</si>
  <si>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</si>
  <si>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</si>
  <si>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</si>
  <si>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</si>
  <si>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</si>
  <si>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</si>
  <si>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</si>
  <si>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</si>
  <si>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</si>
  <si>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</si>
  <si>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</si>
  <si>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</si>
  <si>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</si>
  <si>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</si>
  <si>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</si>
  <si>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</si>
  <si>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</si>
  <si>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</si>
  <si>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</si>
  <si>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</si>
  <si>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</si>
  <si>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</si>
  <si>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</si>
  <si>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</si>
  <si>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</si>
  <si>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</si>
  <si>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</si>
  <si>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</si>
  <si>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</si>
  <si>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</si>
  <si>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</si>
  <si>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</si>
  <si>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</si>
  <si>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</si>
  <si>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</si>
  <si>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</si>
  <si>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</si>
  <si>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</si>
  <si>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</si>
  <si>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</si>
  <si>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</si>
  <si>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</si>
  <si>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</si>
  <si>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</si>
  <si>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</si>
  <si>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</si>
  <si>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</si>
  <si>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</si>
  <si>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</si>
  <si>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</si>
  <si>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</si>
  <si>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</si>
  <si>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</si>
  <si>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</si>
  <si>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</si>
  <si>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</si>
  <si>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</si>
  <si>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</si>
  <si>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</si>
  <si>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</si>
  <si>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</si>
  <si>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</si>
  <si>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</si>
  <si>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</si>
  <si>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</si>
  <si>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</si>
  <si>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</si>
  <si>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</si>
  <si>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</si>
  <si>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</si>
  <si>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</si>
  <si>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</si>
  <si>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</si>
  <si>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</si>
  <si>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</si>
  <si>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</si>
  <si>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</si>
  <si>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</si>
  <si>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</si>
  <si>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</si>
  <si>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</si>
  <si>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</si>
  <si>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</si>
  <si>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</si>
  <si>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</si>
  <si>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</si>
  <si>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</si>
  <si>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</si>
  <si>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</si>
  <si>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</si>
  <si>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</si>
  <si>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</si>
  <si>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</si>
  <si>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</si>
  <si>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</si>
  <si>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</si>
  <si>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</si>
  <si>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</si>
  <si>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</si>
  <si>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</si>
  <si>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</si>
  <si>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</si>
  <si>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</si>
  <si>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</si>
  <si>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</si>
  <si>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</si>
  <si>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</si>
  <si>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</si>
  <si>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</si>
  <si>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</si>
  <si>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</si>
  <si>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</si>
  <si>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</si>
  <si>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</si>
  <si>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</si>
  <si>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</si>
  <si>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</si>
  <si>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</si>
  <si>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</si>
  <si>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</si>
  <si>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</si>
  <si>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</si>
  <si>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</si>
  <si>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</si>
  <si>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</si>
  <si>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</si>
  <si>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</si>
  <si>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</si>
  <si>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</si>
  <si>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</si>
  <si>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</si>
  <si>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</si>
  <si>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</si>
  <si>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</si>
  <si>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</si>
  <si>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</si>
  <si>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</si>
  <si>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</si>
  <si>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</si>
  <si>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</si>
  <si>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</si>
  <si>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</si>
  <si>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</si>
  <si>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</si>
  <si>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</si>
  <si>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</si>
  <si>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</si>
  <si>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</si>
  <si>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</si>
  <si>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</si>
  <si>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</si>
  <si>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</si>
  <si>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</si>
  <si>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</si>
  <si>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</si>
  <si>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</si>
  <si>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</si>
  <si>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</si>
  <si>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</si>
  <si>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</si>
  <si>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</si>
  <si>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</si>
  <si>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</si>
  <si>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</si>
  <si>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</si>
  <si>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</si>
  <si>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</si>
  <si>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</si>
  <si>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</si>
  <si>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</si>
  <si>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</si>
  <si>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</si>
  <si>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</si>
  <si>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</si>
  <si>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</si>
  <si>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</si>
  <si>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</si>
  <si>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</si>
  <si>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</si>
  <si>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</si>
  <si>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</si>
  <si>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</si>
  <si>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</si>
  <si>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</si>
  <si>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13011</t>
  </si>
  <si>
    <t>HERENTALS</t>
  </si>
  <si>
    <t>referentietaak LNE (2017); Jaarverslag De Lijn</t>
  </si>
  <si>
    <t>waterkracht</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</si>
  <si>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</si>
  <si>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</si>
  <si>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</si>
  <si>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</si>
  <si>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</si>
  <si>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</si>
  <si>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</si>
  <si>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</si>
  <si>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</si>
  <si>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De Bourgondier</t>
  </si>
  <si>
    <t>WKK-0888</t>
  </si>
  <si>
    <t>brandstofcel</t>
  </si>
  <si>
    <t>Zeelputten 6, Herentals</t>
  </si>
  <si>
    <t>IVEKA (via EANDIS)</t>
  </si>
  <si>
    <t>Beirinckx Luc II</t>
  </si>
  <si>
    <t>Noorderwijk</t>
  </si>
  <si>
    <t>WKK-0715</t>
  </si>
  <si>
    <t>Interne verbrandingsmotor</t>
  </si>
  <si>
    <t>Rossem 7</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</si>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</sst>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235123.29953379152</c:v>
                </c:pt>
                <c:pt idx="1">
                  <c:v>161836.05834132875</c:v>
                </c:pt>
                <c:pt idx="2">
                  <c:v>1344.704</c:v>
                </c:pt>
                <c:pt idx="3">
                  <c:v>68125.932358186445</c:v>
                </c:pt>
                <c:pt idx="4">
                  <c:v>166357.32518094953</c:v>
                </c:pt>
                <c:pt idx="5">
                  <c:v>226644.49500618561</c:v>
                </c:pt>
                <c:pt idx="6">
                  <c:v>2212.3466707509015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235123.29953379152</c:v>
                </c:pt>
                <c:pt idx="1">
                  <c:v>161836.05834132875</c:v>
                </c:pt>
                <c:pt idx="2">
                  <c:v>1344.704</c:v>
                </c:pt>
                <c:pt idx="3">
                  <c:v>68125.932358186445</c:v>
                </c:pt>
                <c:pt idx="4">
                  <c:v>166357.32518094953</c:v>
                </c:pt>
                <c:pt idx="5">
                  <c:v>226644.49500618561</c:v>
                </c:pt>
                <c:pt idx="6">
                  <c:v>2212.3466707509015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47033.291040968004</c:v>
                </c:pt>
                <c:pt idx="1">
                  <c:v>33760.15186340551</c:v>
                </c:pt>
                <c:pt idx="2">
                  <c:v>283.13152401443335</c:v>
                </c:pt>
                <c:pt idx="3">
                  <c:v>16338.038134784196</c:v>
                </c:pt>
                <c:pt idx="4">
                  <c:v>34813.610312348654</c:v>
                </c:pt>
                <c:pt idx="5">
                  <c:v>56387.075355400011</c:v>
                </c:pt>
                <c:pt idx="6">
                  <c:v>558.55470236616623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47033.291040968004</c:v>
                </c:pt>
                <c:pt idx="1">
                  <c:v>33760.15186340551</c:v>
                </c:pt>
                <c:pt idx="2">
                  <c:v>283.13152401443335</c:v>
                </c:pt>
                <c:pt idx="3">
                  <c:v>16338.038134784196</c:v>
                </c:pt>
                <c:pt idx="4">
                  <c:v>34813.610312348654</c:v>
                </c:pt>
                <c:pt idx="5">
                  <c:v>56387.075355400011</c:v>
                </c:pt>
                <c:pt idx="6">
                  <c:v>558.55470236616623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13011</v>
      </c>
      <c r="B6" s="386"/>
      <c r="C6" s="387"/>
    </row>
    <row r="7" spans="1:7" s="384" customFormat="1" ht="15.75" customHeight="1">
      <c r="A7" s="388" t="str">
        <f>txtMunicipality</f>
        <v>HERENTALS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76688.531444156542</v>
      </c>
      <c r="D10" s="682">
        <f ca="1">tertiair!C16</f>
        <v>12.175675675675675</v>
      </c>
      <c r="E10" s="682">
        <f ca="1">tertiair!D16</f>
        <v>73558.89866946901</v>
      </c>
      <c r="F10" s="682">
        <f>tertiair!E16</f>
        <v>211.45873000821794</v>
      </c>
      <c r="G10" s="682">
        <f ca="1">tertiair!F16</f>
        <v>11185.241518265804</v>
      </c>
      <c r="H10" s="682">
        <f>tertiair!G16</f>
        <v>0</v>
      </c>
      <c r="I10" s="682">
        <f>tertiair!H16</f>
        <v>0</v>
      </c>
      <c r="J10" s="682">
        <f>tertiair!I16</f>
        <v>0</v>
      </c>
      <c r="K10" s="682">
        <f>tertiair!J16</f>
        <v>7.8587405189710455E-2</v>
      </c>
      <c r="L10" s="682">
        <f>tertiair!K16</f>
        <v>0</v>
      </c>
      <c r="M10" s="682">
        <f ca="1">tertiair!L16</f>
        <v>0</v>
      </c>
      <c r="N10" s="682">
        <f>tertiair!M16</f>
        <v>0</v>
      </c>
      <c r="O10" s="682">
        <f ca="1">tertiair!N16</f>
        <v>363.61941283958549</v>
      </c>
      <c r="P10" s="682">
        <f>tertiair!O16</f>
        <v>4.8972607658411542</v>
      </c>
      <c r="Q10" s="683">
        <f>tertiair!P16</f>
        <v>1155.8610427428903</v>
      </c>
      <c r="R10" s="685">
        <f ca="1">SUM(C10:Q10)</f>
        <v>163180.76234132872</v>
      </c>
      <c r="S10" s="67"/>
    </row>
    <row r="11" spans="1:19" s="445" customFormat="1">
      <c r="A11" s="803" t="s">
        <v>220</v>
      </c>
      <c r="B11" s="808"/>
      <c r="C11" s="682">
        <f>huishoudens!B8</f>
        <v>43307.779903734125</v>
      </c>
      <c r="D11" s="682">
        <f>huishoudens!C8</f>
        <v>0</v>
      </c>
      <c r="E11" s="682">
        <f>huishoudens!D8</f>
        <v>131247.20444220328</v>
      </c>
      <c r="F11" s="682">
        <f>huishoudens!E8</f>
        <v>1800.8642555883841</v>
      </c>
      <c r="G11" s="682">
        <f>huishoudens!F8</f>
        <v>40904.61568828985</v>
      </c>
      <c r="H11" s="682">
        <f>huishoudens!G8</f>
        <v>0</v>
      </c>
      <c r="I11" s="682">
        <f>huishoudens!H8</f>
        <v>0</v>
      </c>
      <c r="J11" s="682">
        <f>huishoudens!I8</f>
        <v>0</v>
      </c>
      <c r="K11" s="682">
        <f>huishoudens!J8</f>
        <v>204.63889088747194</v>
      </c>
      <c r="L11" s="682">
        <f>huishoudens!K8</f>
        <v>0</v>
      </c>
      <c r="M11" s="682">
        <f>huishoudens!L8</f>
        <v>0</v>
      </c>
      <c r="N11" s="682">
        <f>huishoudens!M8</f>
        <v>0</v>
      </c>
      <c r="O11" s="682">
        <f>huishoudens!N8</f>
        <v>16200.452560463646</v>
      </c>
      <c r="P11" s="682">
        <f>huishoudens!O8</f>
        <v>615.02704800997992</v>
      </c>
      <c r="Q11" s="683">
        <f>huishoudens!P8</f>
        <v>842.71674461480166</v>
      </c>
      <c r="R11" s="685">
        <f>SUM(C11:Q11)</f>
        <v>235123.29953379152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104768.51048932709</v>
      </c>
      <c r="D13" s="682">
        <f>industrie!C18</f>
        <v>900.00000000000023</v>
      </c>
      <c r="E13" s="682">
        <f>industrie!D18</f>
        <v>44808.986666153185</v>
      </c>
      <c r="F13" s="682">
        <f>industrie!E18</f>
        <v>389.38839515943914</v>
      </c>
      <c r="G13" s="682">
        <f>industrie!F18</f>
        <v>12696.185210193378</v>
      </c>
      <c r="H13" s="682">
        <f>industrie!G18</f>
        <v>0</v>
      </c>
      <c r="I13" s="682">
        <f>industrie!H18</f>
        <v>0</v>
      </c>
      <c r="J13" s="682">
        <f>industrie!I18</f>
        <v>0</v>
      </c>
      <c r="K13" s="682">
        <f>industrie!J18</f>
        <v>30.263519003758127</v>
      </c>
      <c r="L13" s="682">
        <f>industrie!K18</f>
        <v>0</v>
      </c>
      <c r="M13" s="682">
        <f>industrie!L18</f>
        <v>0</v>
      </c>
      <c r="N13" s="682">
        <f>industrie!M18</f>
        <v>0</v>
      </c>
      <c r="O13" s="682">
        <f>industrie!N18</f>
        <v>2763.9909011126811</v>
      </c>
      <c r="P13" s="682">
        <f>industrie!O18</f>
        <v>0</v>
      </c>
      <c r="Q13" s="683">
        <f>industrie!P18</f>
        <v>0</v>
      </c>
      <c r="R13" s="685">
        <f>SUM(C13:Q13)</f>
        <v>166357.32518094953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224764.82183721778</v>
      </c>
      <c r="D16" s="718">
        <f t="shared" ref="D16:R16" ca="1" si="0">SUM(D9:D15)</f>
        <v>912.17567567567585</v>
      </c>
      <c r="E16" s="718">
        <f t="shared" ca="1" si="0"/>
        <v>249615.08977782546</v>
      </c>
      <c r="F16" s="718">
        <f t="shared" si="0"/>
        <v>2401.7113807560413</v>
      </c>
      <c r="G16" s="718">
        <f t="shared" ca="1" si="0"/>
        <v>64786.042416749027</v>
      </c>
      <c r="H16" s="718">
        <f t="shared" si="0"/>
        <v>0</v>
      </c>
      <c r="I16" s="718">
        <f t="shared" si="0"/>
        <v>0</v>
      </c>
      <c r="J16" s="718">
        <f t="shared" si="0"/>
        <v>0</v>
      </c>
      <c r="K16" s="718">
        <f t="shared" si="0"/>
        <v>234.98099729641979</v>
      </c>
      <c r="L16" s="718">
        <f t="shared" si="0"/>
        <v>0</v>
      </c>
      <c r="M16" s="718">
        <f t="shared" ca="1" si="0"/>
        <v>0</v>
      </c>
      <c r="N16" s="718">
        <f t="shared" si="0"/>
        <v>0</v>
      </c>
      <c r="O16" s="718">
        <f t="shared" ca="1" si="0"/>
        <v>19328.062874415911</v>
      </c>
      <c r="P16" s="718">
        <f t="shared" si="0"/>
        <v>619.92430877582103</v>
      </c>
      <c r="Q16" s="718">
        <f t="shared" si="0"/>
        <v>1998.5777873576919</v>
      </c>
      <c r="R16" s="718">
        <f t="shared" ca="1" si="0"/>
        <v>564661.3870560698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28.987922421662013</v>
      </c>
      <c r="D19" s="682">
        <f>transport!C54</f>
        <v>0</v>
      </c>
      <c r="E19" s="682">
        <f>transport!D54</f>
        <v>0</v>
      </c>
      <c r="F19" s="682">
        <f>transport!E54</f>
        <v>0</v>
      </c>
      <c r="G19" s="682">
        <f>transport!F54</f>
        <v>0</v>
      </c>
      <c r="H19" s="682">
        <f>transport!G54</f>
        <v>2069.1056441379596</v>
      </c>
      <c r="I19" s="682">
        <f>transport!H54</f>
        <v>0</v>
      </c>
      <c r="J19" s="682">
        <f>transport!I54</f>
        <v>0</v>
      </c>
      <c r="K19" s="682">
        <f>transport!J54</f>
        <v>0</v>
      </c>
      <c r="L19" s="682">
        <f>transport!K54</f>
        <v>0</v>
      </c>
      <c r="M19" s="682">
        <f>transport!L54</f>
        <v>0</v>
      </c>
      <c r="N19" s="682">
        <f>transport!M54</f>
        <v>114.25310419127982</v>
      </c>
      <c r="O19" s="682">
        <f>transport!N54</f>
        <v>0</v>
      </c>
      <c r="P19" s="682">
        <f>transport!O54</f>
        <v>0</v>
      </c>
      <c r="Q19" s="683">
        <f>transport!P54</f>
        <v>0</v>
      </c>
      <c r="R19" s="685">
        <f>SUM(C19:Q19)</f>
        <v>2212.3466707509015</v>
      </c>
      <c r="S19" s="67"/>
    </row>
    <row r="20" spans="1:19" s="445" customFormat="1">
      <c r="A20" s="803" t="s">
        <v>302</v>
      </c>
      <c r="B20" s="808"/>
      <c r="C20" s="682">
        <f>transport!B14</f>
        <v>382.98068994824916</v>
      </c>
      <c r="D20" s="682">
        <f>transport!C14</f>
        <v>0</v>
      </c>
      <c r="E20" s="682">
        <f>transport!D14</f>
        <v>639.18763524046869</v>
      </c>
      <c r="F20" s="682">
        <f>transport!E14</f>
        <v>379.87210865090606</v>
      </c>
      <c r="G20" s="682">
        <f>transport!F14</f>
        <v>0</v>
      </c>
      <c r="H20" s="682">
        <f>transport!G14</f>
        <v>173232.10258976484</v>
      </c>
      <c r="I20" s="682">
        <f>transport!H14</f>
        <v>39510.519445308135</v>
      </c>
      <c r="J20" s="682">
        <f>transport!I14</f>
        <v>0</v>
      </c>
      <c r="K20" s="682">
        <f>transport!J14</f>
        <v>0</v>
      </c>
      <c r="L20" s="682">
        <f>transport!K14</f>
        <v>0</v>
      </c>
      <c r="M20" s="682">
        <f>transport!L14</f>
        <v>0</v>
      </c>
      <c r="N20" s="682">
        <f>transport!M14</f>
        <v>12499.832537272996</v>
      </c>
      <c r="O20" s="682">
        <f>transport!N14</f>
        <v>0</v>
      </c>
      <c r="P20" s="682">
        <f>transport!O14</f>
        <v>0</v>
      </c>
      <c r="Q20" s="683">
        <f>transport!P14</f>
        <v>0</v>
      </c>
      <c r="R20" s="685">
        <f>SUM(C20:Q20)</f>
        <v>226644.49500618561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411.96861236991117</v>
      </c>
      <c r="D22" s="806">
        <f t="shared" ref="D22:R22" si="1">SUM(D18:D21)</f>
        <v>0</v>
      </c>
      <c r="E22" s="806">
        <f t="shared" si="1"/>
        <v>639.18763524046869</v>
      </c>
      <c r="F22" s="806">
        <f t="shared" si="1"/>
        <v>379.87210865090606</v>
      </c>
      <c r="G22" s="806">
        <f t="shared" si="1"/>
        <v>0</v>
      </c>
      <c r="H22" s="806">
        <f t="shared" si="1"/>
        <v>175301.20823390278</v>
      </c>
      <c r="I22" s="806">
        <f t="shared" si="1"/>
        <v>39510.519445308135</v>
      </c>
      <c r="J22" s="806">
        <f t="shared" si="1"/>
        <v>0</v>
      </c>
      <c r="K22" s="806">
        <f t="shared" si="1"/>
        <v>0</v>
      </c>
      <c r="L22" s="806">
        <f t="shared" si="1"/>
        <v>0</v>
      </c>
      <c r="M22" s="806">
        <f t="shared" si="1"/>
        <v>0</v>
      </c>
      <c r="N22" s="806">
        <f t="shared" si="1"/>
        <v>12614.085641464277</v>
      </c>
      <c r="O22" s="806">
        <f t="shared" si="1"/>
        <v>0</v>
      </c>
      <c r="P22" s="806">
        <f t="shared" si="1"/>
        <v>0</v>
      </c>
      <c r="Q22" s="806">
        <f t="shared" si="1"/>
        <v>0</v>
      </c>
      <c r="R22" s="806">
        <f t="shared" si="1"/>
        <v>228856.84167693651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1508.5695149232101</v>
      </c>
      <c r="D24" s="682">
        <f>+landbouw!C8</f>
        <v>61270.71428571429</v>
      </c>
      <c r="E24" s="682">
        <f>+landbouw!D8</f>
        <v>0</v>
      </c>
      <c r="F24" s="682">
        <f>+landbouw!E8</f>
        <v>56.259171596461904</v>
      </c>
      <c r="G24" s="682">
        <f>+landbouw!F8</f>
        <v>4894.3824406175354</v>
      </c>
      <c r="H24" s="682">
        <f>+landbouw!G8</f>
        <v>0</v>
      </c>
      <c r="I24" s="682">
        <f>+landbouw!H8</f>
        <v>0</v>
      </c>
      <c r="J24" s="682">
        <f>+landbouw!I8</f>
        <v>0</v>
      </c>
      <c r="K24" s="682">
        <f>+landbouw!J8</f>
        <v>396.00694533494237</v>
      </c>
      <c r="L24" s="682">
        <f>+landbouw!K8</f>
        <v>0</v>
      </c>
      <c r="M24" s="682">
        <f>+landbouw!L8</f>
        <v>0</v>
      </c>
      <c r="N24" s="682">
        <f>+landbouw!M8</f>
        <v>0</v>
      </c>
      <c r="O24" s="682">
        <f>+landbouw!N8</f>
        <v>0</v>
      </c>
      <c r="P24" s="682">
        <f>+landbouw!O8</f>
        <v>0</v>
      </c>
      <c r="Q24" s="683">
        <f>+landbouw!P8</f>
        <v>0</v>
      </c>
      <c r="R24" s="685">
        <f>SUM(C24:Q24)</f>
        <v>68125.932358186445</v>
      </c>
      <c r="S24" s="67"/>
    </row>
    <row r="25" spans="1:19" s="445" customFormat="1" ht="15" thickBot="1">
      <c r="A25" s="825" t="s">
        <v>703</v>
      </c>
      <c r="B25" s="938"/>
      <c r="C25" s="939">
        <f>IF(Onbekend_ele_kWh="---",0,Onbekend_ele_kWh)/1000+IF(REST_rest_ele_kWh="---",0,REST_rest_ele_kWh)/1000</f>
        <v>1352.6987451301202</v>
      </c>
      <c r="D25" s="939"/>
      <c r="E25" s="939">
        <f>IF(onbekend_gas_kWh="---",0,onbekend_gas_kWh)/1000+IF(REST_rest_gas_kWh="---",0,REST_rest_gas_kWh)/1000</f>
        <v>7287.0864439757506</v>
      </c>
      <c r="F25" s="939"/>
      <c r="G25" s="939"/>
      <c r="H25" s="939"/>
      <c r="I25" s="939"/>
      <c r="J25" s="939"/>
      <c r="K25" s="939"/>
      <c r="L25" s="939"/>
      <c r="M25" s="939"/>
      <c r="N25" s="939"/>
      <c r="O25" s="939"/>
      <c r="P25" s="939"/>
      <c r="Q25" s="940"/>
      <c r="R25" s="685">
        <f>SUM(C25:Q25)</f>
        <v>8639.7851891058708</v>
      </c>
      <c r="S25" s="67"/>
    </row>
    <row r="26" spans="1:19" s="445" customFormat="1" ht="15.75" thickBot="1">
      <c r="A26" s="690" t="s">
        <v>704</v>
      </c>
      <c r="B26" s="811"/>
      <c r="C26" s="806">
        <f>SUM(C24:C25)</f>
        <v>2861.2682600533303</v>
      </c>
      <c r="D26" s="806">
        <f t="shared" ref="D26:R26" si="2">SUM(D24:D25)</f>
        <v>61270.71428571429</v>
      </c>
      <c r="E26" s="806">
        <f t="shared" si="2"/>
        <v>7287.0864439757506</v>
      </c>
      <c r="F26" s="806">
        <f t="shared" si="2"/>
        <v>56.259171596461904</v>
      </c>
      <c r="G26" s="806">
        <f t="shared" si="2"/>
        <v>4894.3824406175354</v>
      </c>
      <c r="H26" s="806">
        <f t="shared" si="2"/>
        <v>0</v>
      </c>
      <c r="I26" s="806">
        <f t="shared" si="2"/>
        <v>0</v>
      </c>
      <c r="J26" s="806">
        <f t="shared" si="2"/>
        <v>0</v>
      </c>
      <c r="K26" s="806">
        <f t="shared" si="2"/>
        <v>396.00694533494237</v>
      </c>
      <c r="L26" s="806">
        <f t="shared" si="2"/>
        <v>0</v>
      </c>
      <c r="M26" s="806">
        <f t="shared" si="2"/>
        <v>0</v>
      </c>
      <c r="N26" s="806">
        <f t="shared" si="2"/>
        <v>0</v>
      </c>
      <c r="O26" s="806">
        <f t="shared" si="2"/>
        <v>0</v>
      </c>
      <c r="P26" s="806">
        <f t="shared" si="2"/>
        <v>0</v>
      </c>
      <c r="Q26" s="806">
        <f t="shared" si="2"/>
        <v>0</v>
      </c>
      <c r="R26" s="806">
        <f t="shared" si="2"/>
        <v>76765.717547292312</v>
      </c>
      <c r="S26" s="67"/>
    </row>
    <row r="27" spans="1:19" s="445" customFormat="1" ht="17.25" thickTop="1" thickBot="1">
      <c r="A27" s="691" t="s">
        <v>115</v>
      </c>
      <c r="B27" s="798"/>
      <c r="C27" s="692">
        <f ca="1">C22+C16+C26</f>
        <v>228038.05870964102</v>
      </c>
      <c r="D27" s="692">
        <f t="shared" ref="D27:R27" ca="1" si="3">D22+D16+D26</f>
        <v>62182.889961389963</v>
      </c>
      <c r="E27" s="692">
        <f t="shared" ca="1" si="3"/>
        <v>257541.36385704167</v>
      </c>
      <c r="F27" s="692">
        <f t="shared" si="3"/>
        <v>2837.8426610034094</v>
      </c>
      <c r="G27" s="692">
        <f t="shared" ca="1" si="3"/>
        <v>69680.424857366568</v>
      </c>
      <c r="H27" s="692">
        <f t="shared" si="3"/>
        <v>175301.20823390278</v>
      </c>
      <c r="I27" s="692">
        <f t="shared" si="3"/>
        <v>39510.519445308135</v>
      </c>
      <c r="J27" s="692">
        <f t="shared" si="3"/>
        <v>0</v>
      </c>
      <c r="K27" s="692">
        <f t="shared" si="3"/>
        <v>630.9879426313621</v>
      </c>
      <c r="L27" s="692">
        <f t="shared" si="3"/>
        <v>0</v>
      </c>
      <c r="M27" s="692">
        <f t="shared" ca="1" si="3"/>
        <v>0</v>
      </c>
      <c r="N27" s="692">
        <f t="shared" si="3"/>
        <v>12614.085641464277</v>
      </c>
      <c r="O27" s="692">
        <f t="shared" ca="1" si="3"/>
        <v>19328.062874415911</v>
      </c>
      <c r="P27" s="692">
        <f t="shared" si="3"/>
        <v>619.92430877582103</v>
      </c>
      <c r="Q27" s="692">
        <f t="shared" si="3"/>
        <v>1998.5777873576919</v>
      </c>
      <c r="R27" s="692">
        <f t="shared" ca="1" si="3"/>
        <v>870283.94628029864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16147.003937084173</v>
      </c>
      <c r="D40" s="682">
        <f ca="1">tertiair!C20</f>
        <v>2.8934820727566688</v>
      </c>
      <c r="E40" s="682">
        <f ca="1">tertiair!D20</f>
        <v>14858.89753123274</v>
      </c>
      <c r="F40" s="682">
        <f>tertiair!E20</f>
        <v>48.001131711865476</v>
      </c>
      <c r="G40" s="682">
        <f ca="1">tertiair!F20</f>
        <v>2986.45948537697</v>
      </c>
      <c r="H40" s="682">
        <f>tertiair!G20</f>
        <v>0</v>
      </c>
      <c r="I40" s="682">
        <f>tertiair!H20</f>
        <v>0</v>
      </c>
      <c r="J40" s="682">
        <f>tertiair!I20</f>
        <v>0</v>
      </c>
      <c r="K40" s="682">
        <f>tertiair!J20</f>
        <v>2.7819941437157499E-2</v>
      </c>
      <c r="L40" s="682">
        <f>tertiair!K20</f>
        <v>0</v>
      </c>
      <c r="M40" s="682">
        <f ca="1">tertiair!L20</f>
        <v>0</v>
      </c>
      <c r="N40" s="682">
        <f>tertiair!M20</f>
        <v>0</v>
      </c>
      <c r="O40" s="682">
        <f ca="1">tertiair!N20</f>
        <v>0</v>
      </c>
      <c r="P40" s="682">
        <f>tertiair!O20</f>
        <v>0</v>
      </c>
      <c r="Q40" s="765">
        <f>tertiair!P20</f>
        <v>0</v>
      </c>
      <c r="R40" s="844">
        <f t="shared" ca="1" si="4"/>
        <v>34043.283387419942</v>
      </c>
    </row>
    <row r="41" spans="1:18">
      <c r="A41" s="816" t="s">
        <v>220</v>
      </c>
      <c r="B41" s="823"/>
      <c r="C41" s="682">
        <f ca="1">huishoudens!B12</f>
        <v>9118.5850014768239</v>
      </c>
      <c r="D41" s="682">
        <f ca="1">huishoudens!C12</f>
        <v>0</v>
      </c>
      <c r="E41" s="682">
        <f>huishoudens!D12</f>
        <v>26511.935297325064</v>
      </c>
      <c r="F41" s="682">
        <f>huishoudens!E12</f>
        <v>408.79618601856322</v>
      </c>
      <c r="G41" s="682">
        <f>huishoudens!F12</f>
        <v>10921.53238877339</v>
      </c>
      <c r="H41" s="682">
        <f>huishoudens!G12</f>
        <v>0</v>
      </c>
      <c r="I41" s="682">
        <f>huishoudens!H12</f>
        <v>0</v>
      </c>
      <c r="J41" s="682">
        <f>huishoudens!I12</f>
        <v>0</v>
      </c>
      <c r="K41" s="682">
        <f>huishoudens!J12</f>
        <v>72.442167374165066</v>
      </c>
      <c r="L41" s="682">
        <f>huishoudens!K12</f>
        <v>0</v>
      </c>
      <c r="M41" s="682">
        <f>huishoudens!L12</f>
        <v>0</v>
      </c>
      <c r="N41" s="682">
        <f>huishoudens!M12</f>
        <v>0</v>
      </c>
      <c r="O41" s="682">
        <f>huishoudens!N12</f>
        <v>0</v>
      </c>
      <c r="P41" s="682">
        <f>huishoudens!O12</f>
        <v>0</v>
      </c>
      <c r="Q41" s="765">
        <f>huishoudens!P12</f>
        <v>0</v>
      </c>
      <c r="R41" s="844">
        <f t="shared" ca="1" si="4"/>
        <v>47033.291040968004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22059.329074328121</v>
      </c>
      <c r="D43" s="682">
        <f ca="1">industrie!C22</f>
        <v>213.88002890742973</v>
      </c>
      <c r="E43" s="682">
        <f>industrie!D22</f>
        <v>9051.4153065629434</v>
      </c>
      <c r="F43" s="682">
        <f>industrie!E22</f>
        <v>88.391165701192691</v>
      </c>
      <c r="G43" s="682">
        <f>industrie!F22</f>
        <v>3389.8814511216324</v>
      </c>
      <c r="H43" s="682">
        <f>industrie!G22</f>
        <v>0</v>
      </c>
      <c r="I43" s="682">
        <f>industrie!H22</f>
        <v>0</v>
      </c>
      <c r="J43" s="682">
        <f>industrie!I22</f>
        <v>0</v>
      </c>
      <c r="K43" s="682">
        <f>industrie!J22</f>
        <v>10.713285727330376</v>
      </c>
      <c r="L43" s="682">
        <f>industrie!K22</f>
        <v>0</v>
      </c>
      <c r="M43" s="682">
        <f>industrie!L22</f>
        <v>0</v>
      </c>
      <c r="N43" s="682">
        <f>industrie!M22</f>
        <v>0</v>
      </c>
      <c r="O43" s="682">
        <f>industrie!N22</f>
        <v>0</v>
      </c>
      <c r="P43" s="682">
        <f>industrie!O22</f>
        <v>0</v>
      </c>
      <c r="Q43" s="765">
        <f>industrie!P22</f>
        <v>0</v>
      </c>
      <c r="R43" s="843">
        <f t="shared" ca="1" si="4"/>
        <v>34813.610312348654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47324.918012889117</v>
      </c>
      <c r="D46" s="718">
        <f t="shared" ref="D46:Q46" ca="1" si="5">SUM(D39:D45)</f>
        <v>216.77351098018642</v>
      </c>
      <c r="E46" s="718">
        <f t="shared" ca="1" si="5"/>
        <v>50422.248135120746</v>
      </c>
      <c r="F46" s="718">
        <f t="shared" si="5"/>
        <v>545.18848343162142</v>
      </c>
      <c r="G46" s="718">
        <f t="shared" ca="1" si="5"/>
        <v>17297.873325271994</v>
      </c>
      <c r="H46" s="718">
        <f t="shared" si="5"/>
        <v>0</v>
      </c>
      <c r="I46" s="718">
        <f t="shared" si="5"/>
        <v>0</v>
      </c>
      <c r="J46" s="718">
        <f t="shared" si="5"/>
        <v>0</v>
      </c>
      <c r="K46" s="718">
        <f t="shared" si="5"/>
        <v>83.183273042932598</v>
      </c>
      <c r="L46" s="718">
        <f t="shared" si="5"/>
        <v>0</v>
      </c>
      <c r="M46" s="718">
        <f t="shared" ca="1" si="5"/>
        <v>0</v>
      </c>
      <c r="N46" s="718">
        <f t="shared" si="5"/>
        <v>0</v>
      </c>
      <c r="O46" s="718">
        <f t="shared" ca="1" si="5"/>
        <v>0</v>
      </c>
      <c r="P46" s="718">
        <f t="shared" si="5"/>
        <v>0</v>
      </c>
      <c r="Q46" s="718">
        <f t="shared" si="5"/>
        <v>0</v>
      </c>
      <c r="R46" s="718">
        <f ca="1">SUM(R39:R45)</f>
        <v>115890.1847407366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6.1034953813310056</v>
      </c>
      <c r="D49" s="682">
        <f ca="1">transport!C58</f>
        <v>0</v>
      </c>
      <c r="E49" s="682">
        <f>transport!D58</f>
        <v>0</v>
      </c>
      <c r="F49" s="682">
        <f>transport!E58</f>
        <v>0</v>
      </c>
      <c r="G49" s="682">
        <f>transport!F58</f>
        <v>0</v>
      </c>
      <c r="H49" s="682">
        <f>transport!G58</f>
        <v>552.45120698483527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558.55470236616623</v>
      </c>
    </row>
    <row r="50" spans="1:18">
      <c r="A50" s="819" t="s">
        <v>302</v>
      </c>
      <c r="B50" s="829"/>
      <c r="C50" s="688">
        <f ca="1">transport!B18</f>
        <v>80.637751068745956</v>
      </c>
      <c r="D50" s="688">
        <f>transport!C18</f>
        <v>0</v>
      </c>
      <c r="E50" s="688">
        <f>transport!D18</f>
        <v>129.11590231857468</v>
      </c>
      <c r="F50" s="688">
        <f>transport!E18</f>
        <v>86.230968663755675</v>
      </c>
      <c r="G50" s="688">
        <f>transport!F18</f>
        <v>0</v>
      </c>
      <c r="H50" s="688">
        <f>transport!G18</f>
        <v>46252.97139146721</v>
      </c>
      <c r="I50" s="688">
        <f>transport!H18</f>
        <v>9838.1193418817256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56387.075355400011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86.741246450076957</v>
      </c>
      <c r="D52" s="718">
        <f t="shared" ref="D52:Q52" ca="1" si="6">SUM(D48:D51)</f>
        <v>0</v>
      </c>
      <c r="E52" s="718">
        <f t="shared" si="6"/>
        <v>129.11590231857468</v>
      </c>
      <c r="F52" s="718">
        <f t="shared" si="6"/>
        <v>86.230968663755675</v>
      </c>
      <c r="G52" s="718">
        <f t="shared" si="6"/>
        <v>0</v>
      </c>
      <c r="H52" s="718">
        <f t="shared" si="6"/>
        <v>46805.422598452045</v>
      </c>
      <c r="I52" s="718">
        <f t="shared" si="6"/>
        <v>9838.1193418817256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56945.630057766175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317.63390741897319</v>
      </c>
      <c r="D54" s="688">
        <f ca="1">+landbouw!C12</f>
        <v>14560.646825119375</v>
      </c>
      <c r="E54" s="688">
        <f>+landbouw!D12</f>
        <v>0</v>
      </c>
      <c r="F54" s="688">
        <f>+landbouw!E12</f>
        <v>12.770831952396852</v>
      </c>
      <c r="G54" s="688">
        <f>+landbouw!F12</f>
        <v>1306.800111644882</v>
      </c>
      <c r="H54" s="688">
        <f>+landbouw!G12</f>
        <v>0</v>
      </c>
      <c r="I54" s="688">
        <f>+landbouw!H12</f>
        <v>0</v>
      </c>
      <c r="J54" s="688">
        <f>+landbouw!I12</f>
        <v>0</v>
      </c>
      <c r="K54" s="688">
        <f>+landbouw!J12</f>
        <v>140.18645864856958</v>
      </c>
      <c r="L54" s="688">
        <f>+landbouw!K12</f>
        <v>0</v>
      </c>
      <c r="M54" s="688">
        <f>+landbouw!L12</f>
        <v>0</v>
      </c>
      <c r="N54" s="688">
        <f>+landbouw!M12</f>
        <v>0</v>
      </c>
      <c r="O54" s="688">
        <f>+landbouw!N12</f>
        <v>0</v>
      </c>
      <c r="P54" s="688">
        <f>+landbouw!O12</f>
        <v>0</v>
      </c>
      <c r="Q54" s="689">
        <f>+landbouw!P12</f>
        <v>0</v>
      </c>
      <c r="R54" s="717">
        <f ca="1">SUM(C54:Q54)</f>
        <v>16338.038134784196</v>
      </c>
    </row>
    <row r="55" spans="1:18" ht="15" thickBot="1">
      <c r="A55" s="819" t="s">
        <v>703</v>
      </c>
      <c r="B55" s="829"/>
      <c r="C55" s="688">
        <f ca="1">C25*'EF ele_warmte'!B12</f>
        <v>284.81484195860389</v>
      </c>
      <c r="D55" s="688"/>
      <c r="E55" s="688">
        <f>E25*EF_CO2_aardgas</f>
        <v>1471.9914616831018</v>
      </c>
      <c r="F55" s="688"/>
      <c r="G55" s="688"/>
      <c r="H55" s="688"/>
      <c r="I55" s="688"/>
      <c r="J55" s="688"/>
      <c r="K55" s="688"/>
      <c r="L55" s="688"/>
      <c r="M55" s="688"/>
      <c r="N55" s="688"/>
      <c r="O55" s="688"/>
      <c r="P55" s="688"/>
      <c r="Q55" s="689"/>
      <c r="R55" s="717">
        <f ca="1">SUM(C55:Q55)</f>
        <v>1756.8063036417057</v>
      </c>
    </row>
    <row r="56" spans="1:18" ht="15.75" thickBot="1">
      <c r="A56" s="817" t="s">
        <v>704</v>
      </c>
      <c r="B56" s="830"/>
      <c r="C56" s="718">
        <f ca="1">SUM(C54:C55)</f>
        <v>602.44874937757709</v>
      </c>
      <c r="D56" s="718">
        <f t="shared" ref="D56:Q56" ca="1" si="7">SUM(D54:D55)</f>
        <v>14560.646825119375</v>
      </c>
      <c r="E56" s="718">
        <f t="shared" si="7"/>
        <v>1471.9914616831018</v>
      </c>
      <c r="F56" s="718">
        <f t="shared" si="7"/>
        <v>12.770831952396852</v>
      </c>
      <c r="G56" s="718">
        <f t="shared" si="7"/>
        <v>1306.800111644882</v>
      </c>
      <c r="H56" s="718">
        <f t="shared" si="7"/>
        <v>0</v>
      </c>
      <c r="I56" s="718">
        <f t="shared" si="7"/>
        <v>0</v>
      </c>
      <c r="J56" s="718">
        <f t="shared" si="7"/>
        <v>0</v>
      </c>
      <c r="K56" s="718">
        <f t="shared" si="7"/>
        <v>140.18645864856958</v>
      </c>
      <c r="L56" s="718">
        <f t="shared" si="7"/>
        <v>0</v>
      </c>
      <c r="M56" s="718">
        <f t="shared" si="7"/>
        <v>0</v>
      </c>
      <c r="N56" s="718">
        <f t="shared" si="7"/>
        <v>0</v>
      </c>
      <c r="O56" s="718">
        <f t="shared" si="7"/>
        <v>0</v>
      </c>
      <c r="P56" s="718">
        <f t="shared" si="7"/>
        <v>0</v>
      </c>
      <c r="Q56" s="719">
        <f t="shared" si="7"/>
        <v>0</v>
      </c>
      <c r="R56" s="720">
        <f ca="1">SUM(R54:R55)</f>
        <v>18094.844438425902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48014.108008716765</v>
      </c>
      <c r="D61" s="726">
        <f t="shared" ref="D61:Q61" ca="1" si="8">D46+D52+D56</f>
        <v>14777.420336099562</v>
      </c>
      <c r="E61" s="726">
        <f t="shared" ca="1" si="8"/>
        <v>52023.355499122423</v>
      </c>
      <c r="F61" s="726">
        <f t="shared" si="8"/>
        <v>644.19028404777396</v>
      </c>
      <c r="G61" s="726">
        <f t="shared" ca="1" si="8"/>
        <v>18604.673436916877</v>
      </c>
      <c r="H61" s="726">
        <f t="shared" si="8"/>
        <v>46805.422598452045</v>
      </c>
      <c r="I61" s="726">
        <f t="shared" si="8"/>
        <v>9838.1193418817256</v>
      </c>
      <c r="J61" s="726">
        <f t="shared" si="8"/>
        <v>0</v>
      </c>
      <c r="K61" s="726">
        <f t="shared" si="8"/>
        <v>223.36973169150218</v>
      </c>
      <c r="L61" s="726">
        <f t="shared" si="8"/>
        <v>0</v>
      </c>
      <c r="M61" s="726">
        <f t="shared" ca="1" si="8"/>
        <v>0</v>
      </c>
      <c r="N61" s="726">
        <f t="shared" si="8"/>
        <v>0</v>
      </c>
      <c r="O61" s="726">
        <f t="shared" ca="1" si="8"/>
        <v>0</v>
      </c>
      <c r="P61" s="726">
        <f t="shared" si="8"/>
        <v>0</v>
      </c>
      <c r="Q61" s="726">
        <f t="shared" si="8"/>
        <v>0</v>
      </c>
      <c r="R61" s="726">
        <f ca="1">R46+R52+R56</f>
        <v>190930.65923692868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0.21055304662917138</v>
      </c>
      <c r="D63" s="772">
        <f t="shared" ca="1" si="9"/>
        <v>0.23764447656381077</v>
      </c>
      <c r="E63" s="964">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13157.935484087939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43528</v>
      </c>
      <c r="D76" s="947">
        <f>'lokale energieproductie'!C8</f>
        <v>51208.855326086908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10344.188775869556</v>
      </c>
      <c r="R76" s="846">
        <v>0</v>
      </c>
    </row>
    <row r="77" spans="1:18" ht="15.75" thickBot="1">
      <c r="A77" s="742" t="s">
        <v>749</v>
      </c>
      <c r="B77" s="739">
        <f>'lokale energieproductie'!B9*IFERROR(SUM(I77:O77)/SUM(D77:O77),0)</f>
        <v>900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2571.4285714285716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14057.935484087939</v>
      </c>
      <c r="C78" s="744">
        <f>SUM(C72:C77)</f>
        <v>43528</v>
      </c>
      <c r="D78" s="745">
        <f t="shared" ref="D78:H78" si="10">SUM(D76:D77)</f>
        <v>51208.855326086908</v>
      </c>
      <c r="E78" s="745">
        <f t="shared" si="10"/>
        <v>0</v>
      </c>
      <c r="F78" s="745">
        <f t="shared" si="10"/>
        <v>0</v>
      </c>
      <c r="G78" s="745">
        <f t="shared" si="10"/>
        <v>0</v>
      </c>
      <c r="H78" s="745">
        <f t="shared" si="10"/>
        <v>0</v>
      </c>
      <c r="I78" s="745">
        <f>SUM(I76:I77)</f>
        <v>0</v>
      </c>
      <c r="J78" s="745">
        <f>SUM(J76:J77)</f>
        <v>2571.4285714285716</v>
      </c>
      <c r="K78" s="745">
        <f t="shared" ref="K78:L78" si="11">SUM(K76:K77)</f>
        <v>0</v>
      </c>
      <c r="L78" s="745">
        <f t="shared" si="11"/>
        <v>0</v>
      </c>
      <c r="M78" s="745">
        <f>SUM(M76:M77)</f>
        <v>0</v>
      </c>
      <c r="N78" s="745">
        <f>SUM(N76:N77)</f>
        <v>0</v>
      </c>
      <c r="O78" s="854">
        <f>SUM(O76:O77)</f>
        <v>0</v>
      </c>
      <c r="P78" s="746">
        <v>0</v>
      </c>
      <c r="Q78" s="746">
        <f>SUM(Q76:Q77)</f>
        <v>10344.188775869556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62182.889961389956</v>
      </c>
      <c r="D87" s="768">
        <f>'lokale energieproductie'!C17</f>
        <v>73155.546218314659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14777.420336099562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62182.889961389956</v>
      </c>
      <c r="D90" s="744">
        <f t="shared" ref="D90:H90" si="12">SUM(D87:D89)</f>
        <v>73155.546218314659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14777.420336099562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43307.779903734125</v>
      </c>
      <c r="C4" s="449">
        <f>huishoudens!C8</f>
        <v>0</v>
      </c>
      <c r="D4" s="449">
        <f>huishoudens!D8</f>
        <v>131247.20444220328</v>
      </c>
      <c r="E4" s="449">
        <f>huishoudens!E8</f>
        <v>1800.8642555883841</v>
      </c>
      <c r="F4" s="449">
        <f>huishoudens!F8</f>
        <v>40904.61568828985</v>
      </c>
      <c r="G4" s="449">
        <f>huishoudens!G8</f>
        <v>0</v>
      </c>
      <c r="H4" s="449">
        <f>huishoudens!H8</f>
        <v>0</v>
      </c>
      <c r="I4" s="449">
        <f>huishoudens!I8</f>
        <v>0</v>
      </c>
      <c r="J4" s="449">
        <f>huishoudens!J8</f>
        <v>204.63889088747194</v>
      </c>
      <c r="K4" s="449">
        <f>huishoudens!K8</f>
        <v>0</v>
      </c>
      <c r="L4" s="449">
        <f>huishoudens!L8</f>
        <v>0</v>
      </c>
      <c r="M4" s="449">
        <f>huishoudens!M8</f>
        <v>0</v>
      </c>
      <c r="N4" s="449">
        <f>huishoudens!N8</f>
        <v>16200.452560463646</v>
      </c>
      <c r="O4" s="449">
        <f>huishoudens!O8</f>
        <v>615.02704800997992</v>
      </c>
      <c r="P4" s="450">
        <f>huishoudens!P8</f>
        <v>842.71674461480166</v>
      </c>
      <c r="Q4" s="451">
        <f>SUM(B4:P4)</f>
        <v>235123.29953379152</v>
      </c>
    </row>
    <row r="5" spans="1:17">
      <c r="A5" s="448" t="s">
        <v>155</v>
      </c>
      <c r="B5" s="449">
        <f ca="1">tertiair!B16</f>
        <v>75343.827444156545</v>
      </c>
      <c r="C5" s="449">
        <f ca="1">tertiair!C16</f>
        <v>12.175675675675675</v>
      </c>
      <c r="D5" s="449">
        <f ca="1">tertiair!D16</f>
        <v>73558.89866946901</v>
      </c>
      <c r="E5" s="449">
        <f>tertiair!E16</f>
        <v>211.45873000821794</v>
      </c>
      <c r="F5" s="449">
        <f ca="1">tertiair!F16</f>
        <v>11185.241518265804</v>
      </c>
      <c r="G5" s="449">
        <f>tertiair!G16</f>
        <v>0</v>
      </c>
      <c r="H5" s="449">
        <f>tertiair!H16</f>
        <v>0</v>
      </c>
      <c r="I5" s="449">
        <f>tertiair!I16</f>
        <v>0</v>
      </c>
      <c r="J5" s="449">
        <f>tertiair!J16</f>
        <v>7.8587405189710455E-2</v>
      </c>
      <c r="K5" s="449">
        <f>tertiair!K16</f>
        <v>0</v>
      </c>
      <c r="L5" s="449">
        <f ca="1">tertiair!L16</f>
        <v>0</v>
      </c>
      <c r="M5" s="449">
        <f>tertiair!M16</f>
        <v>0</v>
      </c>
      <c r="N5" s="449">
        <f ca="1">tertiair!N16</f>
        <v>363.61941283958549</v>
      </c>
      <c r="O5" s="449">
        <f>tertiair!O16</f>
        <v>4.8972607658411542</v>
      </c>
      <c r="P5" s="450">
        <f>tertiair!P16</f>
        <v>1155.8610427428903</v>
      </c>
      <c r="Q5" s="448">
        <f t="shared" ref="Q5:Q14" ca="1" si="0">SUM(B5:P5)</f>
        <v>161836.05834132875</v>
      </c>
    </row>
    <row r="6" spans="1:17">
      <c r="A6" s="448" t="s">
        <v>193</v>
      </c>
      <c r="B6" s="449">
        <f>'openbare verlichting'!B8</f>
        <v>1344.704</v>
      </c>
      <c r="C6" s="449"/>
      <c r="D6" s="449"/>
      <c r="E6" s="449"/>
      <c r="F6" s="449"/>
      <c r="G6" s="449"/>
      <c r="H6" s="449"/>
      <c r="I6" s="449"/>
      <c r="J6" s="449"/>
      <c r="K6" s="449"/>
      <c r="L6" s="449"/>
      <c r="M6" s="449"/>
      <c r="N6" s="449"/>
      <c r="O6" s="449"/>
      <c r="P6" s="450"/>
      <c r="Q6" s="448">
        <f t="shared" si="0"/>
        <v>1344.704</v>
      </c>
    </row>
    <row r="7" spans="1:17">
      <c r="A7" s="448" t="s">
        <v>111</v>
      </c>
      <c r="B7" s="449">
        <f>landbouw!B8</f>
        <v>1508.5695149232101</v>
      </c>
      <c r="C7" s="449">
        <f>landbouw!C8</f>
        <v>61270.71428571429</v>
      </c>
      <c r="D7" s="449">
        <f>landbouw!D8</f>
        <v>0</v>
      </c>
      <c r="E7" s="449">
        <f>landbouw!E8</f>
        <v>56.259171596461904</v>
      </c>
      <c r="F7" s="449">
        <f>landbouw!F8</f>
        <v>4894.3824406175354</v>
      </c>
      <c r="G7" s="449">
        <f>landbouw!G8</f>
        <v>0</v>
      </c>
      <c r="H7" s="449">
        <f>landbouw!H8</f>
        <v>0</v>
      </c>
      <c r="I7" s="449">
        <f>landbouw!I8</f>
        <v>0</v>
      </c>
      <c r="J7" s="449">
        <f>landbouw!J8</f>
        <v>396.00694533494237</v>
      </c>
      <c r="K7" s="449">
        <f>landbouw!K8</f>
        <v>0</v>
      </c>
      <c r="L7" s="449">
        <f>landbouw!L8</f>
        <v>0</v>
      </c>
      <c r="M7" s="449">
        <f>landbouw!M8</f>
        <v>0</v>
      </c>
      <c r="N7" s="449">
        <f>landbouw!N8</f>
        <v>0</v>
      </c>
      <c r="O7" s="449">
        <f>landbouw!O8</f>
        <v>0</v>
      </c>
      <c r="P7" s="450">
        <f>landbouw!P8</f>
        <v>0</v>
      </c>
      <c r="Q7" s="448">
        <f t="shared" si="0"/>
        <v>68125.932358186445</v>
      </c>
    </row>
    <row r="8" spans="1:17">
      <c r="A8" s="448" t="s">
        <v>618</v>
      </c>
      <c r="B8" s="449">
        <f>industrie!B18</f>
        <v>104768.51048932709</v>
      </c>
      <c r="C8" s="449">
        <f>industrie!C18</f>
        <v>900.00000000000023</v>
      </c>
      <c r="D8" s="449">
        <f>industrie!D18</f>
        <v>44808.986666153185</v>
      </c>
      <c r="E8" s="449">
        <f>industrie!E18</f>
        <v>389.38839515943914</v>
      </c>
      <c r="F8" s="449">
        <f>industrie!F18</f>
        <v>12696.185210193378</v>
      </c>
      <c r="G8" s="449">
        <f>industrie!G18</f>
        <v>0</v>
      </c>
      <c r="H8" s="449">
        <f>industrie!H18</f>
        <v>0</v>
      </c>
      <c r="I8" s="449">
        <f>industrie!I18</f>
        <v>0</v>
      </c>
      <c r="J8" s="449">
        <f>industrie!J18</f>
        <v>30.263519003758127</v>
      </c>
      <c r="K8" s="449">
        <f>industrie!K18</f>
        <v>0</v>
      </c>
      <c r="L8" s="449">
        <f>industrie!L18</f>
        <v>0</v>
      </c>
      <c r="M8" s="449">
        <f>industrie!M18</f>
        <v>0</v>
      </c>
      <c r="N8" s="449">
        <f>industrie!N18</f>
        <v>2763.9909011126811</v>
      </c>
      <c r="O8" s="449">
        <f>industrie!O18</f>
        <v>0</v>
      </c>
      <c r="P8" s="450">
        <f>industrie!P18</f>
        <v>0</v>
      </c>
      <c r="Q8" s="448">
        <f t="shared" si="0"/>
        <v>166357.32518094953</v>
      </c>
    </row>
    <row r="9" spans="1:17" s="454" customFormat="1">
      <c r="A9" s="452" t="s">
        <v>544</v>
      </c>
      <c r="B9" s="453">
        <f>transport!B14</f>
        <v>382.98068994824916</v>
      </c>
      <c r="C9" s="453">
        <f>transport!C14</f>
        <v>0</v>
      </c>
      <c r="D9" s="453">
        <f>transport!D14</f>
        <v>639.18763524046869</v>
      </c>
      <c r="E9" s="453">
        <f>transport!E14</f>
        <v>379.87210865090606</v>
      </c>
      <c r="F9" s="453">
        <f>transport!F14</f>
        <v>0</v>
      </c>
      <c r="G9" s="453">
        <f>transport!G14</f>
        <v>173232.10258976484</v>
      </c>
      <c r="H9" s="453">
        <f>transport!H14</f>
        <v>39510.519445308135</v>
      </c>
      <c r="I9" s="453">
        <f>transport!I14</f>
        <v>0</v>
      </c>
      <c r="J9" s="453">
        <f>transport!J14</f>
        <v>0</v>
      </c>
      <c r="K9" s="453">
        <f>transport!K14</f>
        <v>0</v>
      </c>
      <c r="L9" s="453">
        <f>transport!L14</f>
        <v>0</v>
      </c>
      <c r="M9" s="453">
        <f>transport!M14</f>
        <v>12499.832537272996</v>
      </c>
      <c r="N9" s="453">
        <f>transport!N14</f>
        <v>0</v>
      </c>
      <c r="O9" s="453">
        <f>transport!O14</f>
        <v>0</v>
      </c>
      <c r="P9" s="453">
        <f>transport!P14</f>
        <v>0</v>
      </c>
      <c r="Q9" s="452">
        <f>SUM(B9:P9)</f>
        <v>226644.49500618561</v>
      </c>
    </row>
    <row r="10" spans="1:17">
      <c r="A10" s="448" t="s">
        <v>534</v>
      </c>
      <c r="B10" s="449">
        <f>transport!B54</f>
        <v>28.987922421662013</v>
      </c>
      <c r="C10" s="449">
        <f>transport!C54</f>
        <v>0</v>
      </c>
      <c r="D10" s="449">
        <f>transport!D54</f>
        <v>0</v>
      </c>
      <c r="E10" s="449">
        <f>transport!E54</f>
        <v>0</v>
      </c>
      <c r="F10" s="449">
        <f>transport!F54</f>
        <v>0</v>
      </c>
      <c r="G10" s="449">
        <f>transport!G54</f>
        <v>2069.1056441379596</v>
      </c>
      <c r="H10" s="449">
        <f>transport!H54</f>
        <v>0</v>
      </c>
      <c r="I10" s="449">
        <f>transport!I54</f>
        <v>0</v>
      </c>
      <c r="J10" s="449">
        <f>transport!J54</f>
        <v>0</v>
      </c>
      <c r="K10" s="449">
        <f>transport!K54</f>
        <v>0</v>
      </c>
      <c r="L10" s="449">
        <f>transport!L54</f>
        <v>0</v>
      </c>
      <c r="M10" s="449">
        <f>transport!M54</f>
        <v>114.25310419127982</v>
      </c>
      <c r="N10" s="449">
        <f>transport!N54</f>
        <v>0</v>
      </c>
      <c r="O10" s="449">
        <f>transport!O54</f>
        <v>0</v>
      </c>
      <c r="P10" s="450">
        <f>transport!P54</f>
        <v>0</v>
      </c>
      <c r="Q10" s="448">
        <f t="shared" si="0"/>
        <v>2212.3466707509015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1352.6987451301202</v>
      </c>
      <c r="C14" s="456"/>
      <c r="D14" s="456">
        <f>'SEAP template'!E25</f>
        <v>7287.0864439757506</v>
      </c>
      <c r="E14" s="456"/>
      <c r="F14" s="456"/>
      <c r="G14" s="456"/>
      <c r="H14" s="456"/>
      <c r="I14" s="456"/>
      <c r="J14" s="456"/>
      <c r="K14" s="456"/>
      <c r="L14" s="456"/>
      <c r="M14" s="456"/>
      <c r="N14" s="456"/>
      <c r="O14" s="456"/>
      <c r="P14" s="457"/>
      <c r="Q14" s="448">
        <f t="shared" si="0"/>
        <v>8639.7851891058708</v>
      </c>
    </row>
    <row r="15" spans="1:17" s="460" customFormat="1">
      <c r="A15" s="458" t="s">
        <v>538</v>
      </c>
      <c r="B15" s="459">
        <f ca="1">SUM(B4:B14)</f>
        <v>228038.05870964102</v>
      </c>
      <c r="C15" s="459">
        <f t="shared" ref="C15:Q15" ca="1" si="1">SUM(C4:C14)</f>
        <v>62182.889961389963</v>
      </c>
      <c r="D15" s="459">
        <f t="shared" ca="1" si="1"/>
        <v>257541.36385704167</v>
      </c>
      <c r="E15" s="459">
        <f t="shared" si="1"/>
        <v>2837.8426610034094</v>
      </c>
      <c r="F15" s="459">
        <f t="shared" ca="1" si="1"/>
        <v>69680.424857366568</v>
      </c>
      <c r="G15" s="459">
        <f t="shared" si="1"/>
        <v>175301.20823390278</v>
      </c>
      <c r="H15" s="459">
        <f t="shared" si="1"/>
        <v>39510.519445308135</v>
      </c>
      <c r="I15" s="459">
        <f t="shared" si="1"/>
        <v>0</v>
      </c>
      <c r="J15" s="459">
        <f t="shared" si="1"/>
        <v>630.9879426313621</v>
      </c>
      <c r="K15" s="459">
        <f t="shared" si="1"/>
        <v>0</v>
      </c>
      <c r="L15" s="459">
        <f t="shared" ca="1" si="1"/>
        <v>0</v>
      </c>
      <c r="M15" s="459">
        <f t="shared" si="1"/>
        <v>12614.085641464277</v>
      </c>
      <c r="N15" s="459">
        <f t="shared" ca="1" si="1"/>
        <v>19328.062874415911</v>
      </c>
      <c r="O15" s="459">
        <f t="shared" si="1"/>
        <v>619.92430877582103</v>
      </c>
      <c r="P15" s="459">
        <f t="shared" si="1"/>
        <v>1998.5777873576919</v>
      </c>
      <c r="Q15" s="459">
        <f t="shared" ca="1" si="1"/>
        <v>870283.94628029864</v>
      </c>
    </row>
    <row r="17" spans="1:17">
      <c r="A17" s="461" t="s">
        <v>539</v>
      </c>
      <c r="B17" s="777">
        <f ca="1">huishoudens!B10</f>
        <v>0.21055304662917143</v>
      </c>
      <c r="C17" s="777">
        <f ca="1">huishoudens!C10</f>
        <v>0.23764447656381077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9118.5850014768239</v>
      </c>
      <c r="C22" s="449">
        <f t="shared" ref="C22:C32" ca="1" si="3">C4*$C$17</f>
        <v>0</v>
      </c>
      <c r="D22" s="449">
        <f t="shared" ref="D22:D32" si="4">D4*$D$17</f>
        <v>26511.935297325064</v>
      </c>
      <c r="E22" s="449">
        <f t="shared" ref="E22:E32" si="5">E4*$E$17</f>
        <v>408.79618601856322</v>
      </c>
      <c r="F22" s="449">
        <f t="shared" ref="F22:F32" si="6">F4*$F$17</f>
        <v>10921.53238877339</v>
      </c>
      <c r="G22" s="449">
        <f t="shared" ref="G22:G32" si="7">G4*$G$17</f>
        <v>0</v>
      </c>
      <c r="H22" s="449">
        <f t="shared" ref="H22:H32" si="8">H4*$H$17</f>
        <v>0</v>
      </c>
      <c r="I22" s="449">
        <f t="shared" ref="I22:I32" si="9">I4*$I$17</f>
        <v>0</v>
      </c>
      <c r="J22" s="449">
        <f t="shared" ref="J22:J32" si="10">J4*$J$17</f>
        <v>72.442167374165066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47033.291040968004</v>
      </c>
    </row>
    <row r="23" spans="1:17">
      <c r="A23" s="448" t="s">
        <v>155</v>
      </c>
      <c r="B23" s="449">
        <f t="shared" ca="1" si="2"/>
        <v>15863.872413069739</v>
      </c>
      <c r="C23" s="449">
        <f t="shared" ca="1" si="3"/>
        <v>2.8934820727566688</v>
      </c>
      <c r="D23" s="449">
        <f t="shared" ca="1" si="4"/>
        <v>14858.89753123274</v>
      </c>
      <c r="E23" s="449">
        <f t="shared" si="5"/>
        <v>48.001131711865476</v>
      </c>
      <c r="F23" s="449">
        <f t="shared" ca="1" si="6"/>
        <v>2986.45948537697</v>
      </c>
      <c r="G23" s="449">
        <f t="shared" si="7"/>
        <v>0</v>
      </c>
      <c r="H23" s="449">
        <f t="shared" si="8"/>
        <v>0</v>
      </c>
      <c r="I23" s="449">
        <f t="shared" si="9"/>
        <v>0</v>
      </c>
      <c r="J23" s="449">
        <f t="shared" si="10"/>
        <v>2.7819941437157499E-2</v>
      </c>
      <c r="K23" s="449">
        <f t="shared" si="11"/>
        <v>0</v>
      </c>
      <c r="L23" s="449">
        <f t="shared" ca="1" si="12"/>
        <v>0</v>
      </c>
      <c r="M23" s="449">
        <f t="shared" si="13"/>
        <v>0</v>
      </c>
      <c r="N23" s="449">
        <f t="shared" ca="1" si="14"/>
        <v>0</v>
      </c>
      <c r="O23" s="449">
        <f t="shared" si="15"/>
        <v>0</v>
      </c>
      <c r="P23" s="450">
        <f t="shared" si="16"/>
        <v>0</v>
      </c>
      <c r="Q23" s="448">
        <f t="shared" ref="Q23:Q31" ca="1" si="17">SUM(B23:P23)</f>
        <v>33760.15186340551</v>
      </c>
    </row>
    <row r="24" spans="1:17">
      <c r="A24" s="448" t="s">
        <v>193</v>
      </c>
      <c r="B24" s="449">
        <f t="shared" ca="1" si="2"/>
        <v>283.13152401443335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283.13152401443335</v>
      </c>
    </row>
    <row r="25" spans="1:17">
      <c r="A25" s="448" t="s">
        <v>111</v>
      </c>
      <c r="B25" s="449">
        <f t="shared" ca="1" si="2"/>
        <v>317.63390741897319</v>
      </c>
      <c r="C25" s="449">
        <f t="shared" ca="1" si="3"/>
        <v>14560.646825119375</v>
      </c>
      <c r="D25" s="449">
        <f t="shared" si="4"/>
        <v>0</v>
      </c>
      <c r="E25" s="449">
        <f t="shared" si="5"/>
        <v>12.770831952396852</v>
      </c>
      <c r="F25" s="449">
        <f t="shared" si="6"/>
        <v>1306.800111644882</v>
      </c>
      <c r="G25" s="449">
        <f t="shared" si="7"/>
        <v>0</v>
      </c>
      <c r="H25" s="449">
        <f t="shared" si="8"/>
        <v>0</v>
      </c>
      <c r="I25" s="449">
        <f t="shared" si="9"/>
        <v>0</v>
      </c>
      <c r="J25" s="449">
        <f t="shared" si="10"/>
        <v>140.18645864856958</v>
      </c>
      <c r="K25" s="449">
        <f t="shared" si="11"/>
        <v>0</v>
      </c>
      <c r="L25" s="449">
        <f t="shared" si="12"/>
        <v>0</v>
      </c>
      <c r="M25" s="449">
        <f t="shared" si="13"/>
        <v>0</v>
      </c>
      <c r="N25" s="449">
        <f t="shared" si="14"/>
        <v>0</v>
      </c>
      <c r="O25" s="449">
        <f t="shared" si="15"/>
        <v>0</v>
      </c>
      <c r="P25" s="450">
        <f t="shared" si="16"/>
        <v>0</v>
      </c>
      <c r="Q25" s="448">
        <f t="shared" ca="1" si="17"/>
        <v>16338.038134784196</v>
      </c>
    </row>
    <row r="26" spans="1:17">
      <c r="A26" s="448" t="s">
        <v>618</v>
      </c>
      <c r="B26" s="449">
        <f t="shared" ca="1" si="2"/>
        <v>22059.329074328121</v>
      </c>
      <c r="C26" s="449">
        <f t="shared" ca="1" si="3"/>
        <v>213.88002890742973</v>
      </c>
      <c r="D26" s="449">
        <f t="shared" si="4"/>
        <v>9051.4153065629434</v>
      </c>
      <c r="E26" s="449">
        <f t="shared" si="5"/>
        <v>88.391165701192691</v>
      </c>
      <c r="F26" s="449">
        <f t="shared" si="6"/>
        <v>3389.8814511216324</v>
      </c>
      <c r="G26" s="449">
        <f t="shared" si="7"/>
        <v>0</v>
      </c>
      <c r="H26" s="449">
        <f t="shared" si="8"/>
        <v>0</v>
      </c>
      <c r="I26" s="449">
        <f t="shared" si="9"/>
        <v>0</v>
      </c>
      <c r="J26" s="449">
        <f t="shared" si="10"/>
        <v>10.713285727330376</v>
      </c>
      <c r="K26" s="449">
        <f t="shared" si="11"/>
        <v>0</v>
      </c>
      <c r="L26" s="449">
        <f t="shared" si="12"/>
        <v>0</v>
      </c>
      <c r="M26" s="449">
        <f t="shared" si="13"/>
        <v>0</v>
      </c>
      <c r="N26" s="449">
        <f t="shared" si="14"/>
        <v>0</v>
      </c>
      <c r="O26" s="449">
        <f t="shared" si="15"/>
        <v>0</v>
      </c>
      <c r="P26" s="450">
        <f t="shared" si="16"/>
        <v>0</v>
      </c>
      <c r="Q26" s="448">
        <f t="shared" ca="1" si="17"/>
        <v>34813.610312348654</v>
      </c>
    </row>
    <row r="27" spans="1:17" s="454" customFormat="1">
      <c r="A27" s="452" t="s">
        <v>544</v>
      </c>
      <c r="B27" s="771">
        <f t="shared" ca="1" si="2"/>
        <v>80.637751068745956</v>
      </c>
      <c r="C27" s="453">
        <f t="shared" ca="1" si="3"/>
        <v>0</v>
      </c>
      <c r="D27" s="453">
        <f t="shared" si="4"/>
        <v>129.11590231857468</v>
      </c>
      <c r="E27" s="453">
        <f t="shared" si="5"/>
        <v>86.230968663755675</v>
      </c>
      <c r="F27" s="453">
        <f t="shared" si="6"/>
        <v>0</v>
      </c>
      <c r="G27" s="453">
        <f t="shared" si="7"/>
        <v>46252.97139146721</v>
      </c>
      <c r="H27" s="453">
        <f t="shared" si="8"/>
        <v>9838.1193418817256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56387.075355400011</v>
      </c>
    </row>
    <row r="28" spans="1:17" ht="16.5" customHeight="1">
      <c r="A28" s="448" t="s">
        <v>534</v>
      </c>
      <c r="B28" s="449">
        <f t="shared" ca="1" si="2"/>
        <v>6.1034953813310056</v>
      </c>
      <c r="C28" s="449">
        <f t="shared" ca="1" si="3"/>
        <v>0</v>
      </c>
      <c r="D28" s="449">
        <f t="shared" si="4"/>
        <v>0</v>
      </c>
      <c r="E28" s="449">
        <f t="shared" si="5"/>
        <v>0</v>
      </c>
      <c r="F28" s="449">
        <f t="shared" si="6"/>
        <v>0</v>
      </c>
      <c r="G28" s="449">
        <f t="shared" si="7"/>
        <v>552.45120698483527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558.55470236616623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284.81484195860389</v>
      </c>
      <c r="C32" s="449">
        <f t="shared" ca="1" si="3"/>
        <v>0</v>
      </c>
      <c r="D32" s="449">
        <f t="shared" si="4"/>
        <v>1471.9914616831018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1756.8063036417057</v>
      </c>
    </row>
    <row r="33" spans="1:17" s="460" customFormat="1">
      <c r="A33" s="458" t="s">
        <v>538</v>
      </c>
      <c r="B33" s="459">
        <f ca="1">SUM(B22:B32)</f>
        <v>48014.108008716772</v>
      </c>
      <c r="C33" s="459">
        <f t="shared" ref="C33:Q33" ca="1" si="19">SUM(C22:C32)</f>
        <v>14777.420336099562</v>
      </c>
      <c r="D33" s="459">
        <f t="shared" ca="1" si="19"/>
        <v>52023.355499122423</v>
      </c>
      <c r="E33" s="459">
        <f t="shared" si="19"/>
        <v>644.19028404777396</v>
      </c>
      <c r="F33" s="459">
        <f t="shared" ca="1" si="19"/>
        <v>18604.673436916873</v>
      </c>
      <c r="G33" s="459">
        <f t="shared" si="19"/>
        <v>46805.422598452045</v>
      </c>
      <c r="H33" s="459">
        <f t="shared" si="19"/>
        <v>9838.1193418817256</v>
      </c>
      <c r="I33" s="459">
        <f t="shared" si="19"/>
        <v>0</v>
      </c>
      <c r="J33" s="459">
        <f t="shared" si="19"/>
        <v>223.36973169150218</v>
      </c>
      <c r="K33" s="459">
        <f t="shared" si="19"/>
        <v>0</v>
      </c>
      <c r="L33" s="459">
        <f t="shared" ca="1" si="19"/>
        <v>0</v>
      </c>
      <c r="M33" s="459">
        <f t="shared" si="19"/>
        <v>0</v>
      </c>
      <c r="N33" s="459">
        <f t="shared" ca="1" si="19"/>
        <v>0</v>
      </c>
      <c r="O33" s="459">
        <f t="shared" si="19"/>
        <v>0</v>
      </c>
      <c r="P33" s="459">
        <f t="shared" si="19"/>
        <v>0</v>
      </c>
      <c r="Q33" s="459">
        <f t="shared" ca="1" si="19"/>
        <v>190930.65923692868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13157.935484087939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43528</v>
      </c>
      <c r="D8" s="1015">
        <f>'SEAP template'!D76</f>
        <v>51208.855326086908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10344.188775869556</v>
      </c>
    </row>
    <row r="9" spans="1:16">
      <c r="A9" s="1021" t="s">
        <v>750</v>
      </c>
      <c r="B9" s="1015">
        <f>'SEAP template'!B77</f>
        <v>900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2571.4285714285716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14057.935484087939</v>
      </c>
      <c r="C10" s="1017">
        <f>SUM(C4:C9)</f>
        <v>43528</v>
      </c>
      <c r="D10" s="1017">
        <f t="shared" ref="D10:H10" si="0">SUM(D8:D9)</f>
        <v>51208.855326086908</v>
      </c>
      <c r="E10" s="1017">
        <f t="shared" si="0"/>
        <v>0</v>
      </c>
      <c r="F10" s="1017">
        <f t="shared" si="0"/>
        <v>0</v>
      </c>
      <c r="G10" s="1017">
        <f t="shared" si="0"/>
        <v>0</v>
      </c>
      <c r="H10" s="1017">
        <f t="shared" si="0"/>
        <v>0</v>
      </c>
      <c r="I10" s="1017">
        <f>SUM(I8:I9)</f>
        <v>0</v>
      </c>
      <c r="J10" s="1017">
        <f>SUM(J8:J9)</f>
        <v>2571.4285714285716</v>
      </c>
      <c r="K10" s="1017">
        <f t="shared" ref="K10:L10" si="1">SUM(K8:K9)</f>
        <v>0</v>
      </c>
      <c r="L10" s="1017">
        <f t="shared" si="1"/>
        <v>0</v>
      </c>
      <c r="M10" s="1017">
        <f>SUM(M8:M9)</f>
        <v>0</v>
      </c>
      <c r="N10" s="1017">
        <f>SUM(N8:N9)</f>
        <v>0</v>
      </c>
      <c r="O10" s="1017">
        <f>SUM(O8:O9)</f>
        <v>0</v>
      </c>
      <c r="P10" s="1017">
        <f>SUM(P8:P9)</f>
        <v>10344.188775869556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0.21055304662917143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62182.889961389956</v>
      </c>
      <c r="D17" s="1016">
        <f>'SEAP template'!D87</f>
        <v>73155.546218314659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14777.420336099562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62182.889961389956</v>
      </c>
      <c r="D20" s="1017">
        <f t="shared" ref="D20:H20" si="2">SUM(D17:D19)</f>
        <v>73155.546218314659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14777.420336099562</v>
      </c>
    </row>
    <row r="21" spans="1:16">
      <c r="B21" s="882"/>
    </row>
    <row r="22" spans="1:16">
      <c r="A22" s="461" t="s">
        <v>762</v>
      </c>
      <c r="B22" s="777" t="s">
        <v>760</v>
      </c>
      <c r="C22" s="777">
        <f ca="1">'EF ele_warmte'!B22</f>
        <v>0.23764447656381077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0.21055304662917143</v>
      </c>
      <c r="C17" s="497">
        <f ca="1">'EF ele_warmte'!B22</f>
        <v>0.23764447656381077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0.21055304662917143</v>
      </c>
      <c r="C17" s="497">
        <f ca="1">'EF ele_warmte'!B22</f>
        <v>0.23764447656381077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0.21055304662917143</v>
      </c>
      <c r="C29" s="498">
        <f ca="1">'EF ele_warmte'!B22</f>
        <v>0.23764447656381077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12572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1574.17</v>
      </c>
      <c r="C14" s="326"/>
      <c r="D14" s="326"/>
      <c r="E14" s="326"/>
      <c r="F14" s="326"/>
    </row>
    <row r="15" spans="1:6">
      <c r="A15" s="1307" t="s">
        <v>183</v>
      </c>
      <c r="B15" s="1308">
        <v>2187</v>
      </c>
      <c r="C15" s="326"/>
      <c r="D15" s="326"/>
      <c r="E15" s="326"/>
      <c r="F15" s="326"/>
    </row>
    <row r="16" spans="1:6">
      <c r="A16" s="1307" t="s">
        <v>6</v>
      </c>
      <c r="B16" s="1308">
        <v>667</v>
      </c>
      <c r="C16" s="326"/>
      <c r="D16" s="326"/>
      <c r="E16" s="326"/>
      <c r="F16" s="326"/>
    </row>
    <row r="17" spans="1:6">
      <c r="A17" s="1307" t="s">
        <v>7</v>
      </c>
      <c r="B17" s="1308">
        <v>99</v>
      </c>
      <c r="C17" s="326"/>
      <c r="D17" s="326"/>
      <c r="E17" s="326"/>
      <c r="F17" s="326"/>
    </row>
    <row r="18" spans="1:6">
      <c r="A18" s="1307" t="s">
        <v>8</v>
      </c>
      <c r="B18" s="1308">
        <v>338</v>
      </c>
      <c r="C18" s="326"/>
      <c r="D18" s="326"/>
      <c r="E18" s="326"/>
      <c r="F18" s="326"/>
    </row>
    <row r="19" spans="1:6">
      <c r="A19" s="1307" t="s">
        <v>9</v>
      </c>
      <c r="B19" s="1308">
        <v>359</v>
      </c>
      <c r="C19" s="326"/>
      <c r="D19" s="326"/>
      <c r="E19" s="326"/>
      <c r="F19" s="326"/>
    </row>
    <row r="20" spans="1:6">
      <c r="A20" s="1307" t="s">
        <v>10</v>
      </c>
      <c r="B20" s="1308">
        <v>187</v>
      </c>
      <c r="C20" s="326"/>
      <c r="D20" s="326"/>
      <c r="E20" s="326"/>
      <c r="F20" s="326"/>
    </row>
    <row r="21" spans="1:6">
      <c r="A21" s="1307" t="s">
        <v>11</v>
      </c>
      <c r="B21" s="1308">
        <v>1074</v>
      </c>
      <c r="C21" s="326"/>
      <c r="D21" s="326"/>
      <c r="E21" s="326"/>
      <c r="F21" s="326"/>
    </row>
    <row r="22" spans="1:6">
      <c r="A22" s="1307" t="s">
        <v>12</v>
      </c>
      <c r="B22" s="1308">
        <v>4834</v>
      </c>
      <c r="C22" s="326"/>
      <c r="D22" s="326"/>
      <c r="E22" s="326"/>
      <c r="F22" s="326"/>
    </row>
    <row r="23" spans="1:6">
      <c r="A23" s="1307" t="s">
        <v>13</v>
      </c>
      <c r="B23" s="1308">
        <v>53</v>
      </c>
      <c r="C23" s="326"/>
      <c r="D23" s="326"/>
      <c r="E23" s="326"/>
      <c r="F23" s="326"/>
    </row>
    <row r="24" spans="1:6">
      <c r="A24" s="1307" t="s">
        <v>14</v>
      </c>
      <c r="B24" s="1308">
        <v>2</v>
      </c>
      <c r="C24" s="326"/>
      <c r="D24" s="326"/>
      <c r="E24" s="326"/>
      <c r="F24" s="326"/>
    </row>
    <row r="25" spans="1:6">
      <c r="A25" s="1307" t="s">
        <v>15</v>
      </c>
      <c r="B25" s="1308">
        <v>290</v>
      </c>
      <c r="C25" s="326"/>
      <c r="D25" s="326"/>
      <c r="E25" s="326"/>
      <c r="F25" s="326"/>
    </row>
    <row r="26" spans="1:6">
      <c r="A26" s="1307" t="s">
        <v>16</v>
      </c>
      <c r="B26" s="1308">
        <v>51</v>
      </c>
      <c r="C26" s="326"/>
      <c r="D26" s="326"/>
      <c r="E26" s="326"/>
      <c r="F26" s="326"/>
    </row>
    <row r="27" spans="1:6">
      <c r="A27" s="1307" t="s">
        <v>17</v>
      </c>
      <c r="B27" s="1308">
        <v>1081</v>
      </c>
      <c r="C27" s="326"/>
      <c r="D27" s="326"/>
      <c r="E27" s="326"/>
      <c r="F27" s="326"/>
    </row>
    <row r="28" spans="1:6" s="43" customFormat="1">
      <c r="A28" s="1309" t="s">
        <v>18</v>
      </c>
      <c r="B28" s="1310">
        <v>137289</v>
      </c>
      <c r="C28" s="332"/>
      <c r="D28" s="332"/>
      <c r="E28" s="332"/>
      <c r="F28" s="332"/>
    </row>
    <row r="29" spans="1:6">
      <c r="A29" s="1309" t="s">
        <v>688</v>
      </c>
      <c r="B29" s="1310">
        <v>256</v>
      </c>
      <c r="C29" s="332"/>
      <c r="D29" s="332"/>
      <c r="E29" s="332"/>
      <c r="F29" s="332"/>
    </row>
    <row r="30" spans="1:6">
      <c r="A30" s="1302" t="s">
        <v>689</v>
      </c>
      <c r="B30" s="1311">
        <v>19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6</v>
      </c>
      <c r="F35" s="1308">
        <v>32333.2588637232</v>
      </c>
    </row>
    <row r="36" spans="1:6">
      <c r="A36" s="1307" t="s">
        <v>24</v>
      </c>
      <c r="B36" s="1307" t="s">
        <v>26</v>
      </c>
      <c r="C36" s="1308">
        <v>4</v>
      </c>
      <c r="D36" s="1308">
        <v>599717.00574960804</v>
      </c>
      <c r="E36" s="1308">
        <v>13</v>
      </c>
      <c r="F36" s="1308">
        <v>174001.31920892399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10097</v>
      </c>
      <c r="D39" s="1308">
        <v>145345741.35349199</v>
      </c>
      <c r="E39" s="1308">
        <v>12502</v>
      </c>
      <c r="F39" s="1308">
        <v>36727193.490408599</v>
      </c>
    </row>
    <row r="40" spans="1:6">
      <c r="A40" s="1307" t="s">
        <v>29</v>
      </c>
      <c r="B40" s="1307" t="s">
        <v>28</v>
      </c>
      <c r="C40" s="1308">
        <v>0</v>
      </c>
      <c r="D40" s="1308">
        <v>0</v>
      </c>
      <c r="E40" s="1308">
        <v>0</v>
      </c>
      <c r="F40" s="1308">
        <v>0</v>
      </c>
    </row>
    <row r="41" spans="1:6">
      <c r="A41" s="1307" t="s">
        <v>31</v>
      </c>
      <c r="B41" s="1307" t="s">
        <v>32</v>
      </c>
      <c r="C41" s="1308">
        <v>127</v>
      </c>
      <c r="D41" s="1308">
        <v>8150323.7670293404</v>
      </c>
      <c r="E41" s="1308">
        <v>252</v>
      </c>
      <c r="F41" s="1308">
        <v>15560903.508318501</v>
      </c>
    </row>
    <row r="42" spans="1:6">
      <c r="A42" s="1307" t="s">
        <v>31</v>
      </c>
      <c r="B42" s="1307" t="s">
        <v>33</v>
      </c>
      <c r="C42" s="1308">
        <v>0</v>
      </c>
      <c r="D42" s="1308">
        <v>0</v>
      </c>
      <c r="E42" s="1308">
        <v>3</v>
      </c>
      <c r="F42" s="1308">
        <v>1482315.76676637</v>
      </c>
    </row>
    <row r="43" spans="1:6">
      <c r="A43" s="1307" t="s">
        <v>31</v>
      </c>
      <c r="B43" s="1307" t="s">
        <v>34</v>
      </c>
      <c r="C43" s="1308">
        <v>0</v>
      </c>
      <c r="D43" s="1308">
        <v>0</v>
      </c>
      <c r="E43" s="1308">
        <v>0</v>
      </c>
      <c r="F43" s="1308">
        <v>0</v>
      </c>
    </row>
    <row r="44" spans="1:6">
      <c r="A44" s="1307" t="s">
        <v>31</v>
      </c>
      <c r="B44" s="1307" t="s">
        <v>35</v>
      </c>
      <c r="C44" s="1308">
        <v>38</v>
      </c>
      <c r="D44" s="1308">
        <v>9997748.0950421505</v>
      </c>
      <c r="E44" s="1308">
        <v>63</v>
      </c>
      <c r="F44" s="1308">
        <v>34062007.542280599</v>
      </c>
    </row>
    <row r="45" spans="1:6">
      <c r="A45" s="1307" t="s">
        <v>31</v>
      </c>
      <c r="B45" s="1307" t="s">
        <v>36</v>
      </c>
      <c r="C45" s="1308">
        <v>0</v>
      </c>
      <c r="D45" s="1308">
        <v>0</v>
      </c>
      <c r="E45" s="1308">
        <v>5</v>
      </c>
      <c r="F45" s="1308">
        <v>411027.26644784398</v>
      </c>
    </row>
    <row r="46" spans="1:6">
      <c r="A46" s="1307" t="s">
        <v>31</v>
      </c>
      <c r="B46" s="1307" t="s">
        <v>37</v>
      </c>
      <c r="C46" s="1308">
        <v>0</v>
      </c>
      <c r="D46" s="1308">
        <v>0</v>
      </c>
      <c r="E46" s="1308">
        <v>0</v>
      </c>
      <c r="F46" s="1308">
        <v>0</v>
      </c>
    </row>
    <row r="47" spans="1:6">
      <c r="A47" s="1307" t="s">
        <v>31</v>
      </c>
      <c r="B47" s="1307" t="s">
        <v>38</v>
      </c>
      <c r="C47" s="1308">
        <v>10</v>
      </c>
      <c r="D47" s="1308">
        <v>741382.28512766201</v>
      </c>
      <c r="E47" s="1308">
        <v>16</v>
      </c>
      <c r="F47" s="1308">
        <v>2346010.96593743</v>
      </c>
    </row>
    <row r="48" spans="1:6">
      <c r="A48" s="1307" t="s">
        <v>31</v>
      </c>
      <c r="B48" s="1307" t="s">
        <v>28</v>
      </c>
      <c r="C48" s="1308">
        <v>4</v>
      </c>
      <c r="D48" s="1308">
        <v>40829.293875452699</v>
      </c>
      <c r="E48" s="1308">
        <v>0</v>
      </c>
      <c r="F48" s="1308">
        <v>0</v>
      </c>
    </row>
    <row r="49" spans="1:6">
      <c r="A49" s="1307" t="s">
        <v>31</v>
      </c>
      <c r="B49" s="1307" t="s">
        <v>39</v>
      </c>
      <c r="C49" s="1308">
        <v>0</v>
      </c>
      <c r="D49" s="1308">
        <v>0</v>
      </c>
      <c r="E49" s="1308">
        <v>5</v>
      </c>
      <c r="F49" s="1308">
        <v>36770.625728335399</v>
      </c>
    </row>
    <row r="50" spans="1:6">
      <c r="A50" s="1307" t="s">
        <v>31</v>
      </c>
      <c r="B50" s="1307" t="s">
        <v>40</v>
      </c>
      <c r="C50" s="1308">
        <v>29</v>
      </c>
      <c r="D50" s="1308">
        <v>32685427.152672</v>
      </c>
      <c r="E50" s="1308">
        <v>42</v>
      </c>
      <c r="F50" s="1308">
        <v>50239474.813847996</v>
      </c>
    </row>
    <row r="51" spans="1:6">
      <c r="A51" s="1307" t="s">
        <v>41</v>
      </c>
      <c r="B51" s="1307" t="s">
        <v>42</v>
      </c>
      <c r="C51" s="1308">
        <v>10</v>
      </c>
      <c r="D51" s="1308">
        <v>67490139.573905095</v>
      </c>
      <c r="E51" s="1308">
        <v>67</v>
      </c>
      <c r="F51" s="1308">
        <v>1508569.51492321</v>
      </c>
    </row>
    <row r="52" spans="1:6">
      <c r="A52" s="1307" t="s">
        <v>41</v>
      </c>
      <c r="B52" s="1307" t="s">
        <v>28</v>
      </c>
      <c r="C52" s="1308">
        <v>0</v>
      </c>
      <c r="D52" s="1308">
        <v>0</v>
      </c>
      <c r="E52" s="1308">
        <v>0</v>
      </c>
      <c r="F52" s="1308">
        <v>0</v>
      </c>
    </row>
    <row r="53" spans="1:6">
      <c r="A53" s="1307" t="s">
        <v>43</v>
      </c>
      <c r="B53" s="1307" t="s">
        <v>44</v>
      </c>
      <c r="C53" s="1308">
        <v>229</v>
      </c>
      <c r="D53" s="1308">
        <v>7287086.4439757504</v>
      </c>
      <c r="E53" s="1308">
        <v>460</v>
      </c>
      <c r="F53" s="1308">
        <v>1352698.7451301201</v>
      </c>
    </row>
    <row r="54" spans="1:6">
      <c r="A54" s="1307" t="s">
        <v>45</v>
      </c>
      <c r="B54" s="1307" t="s">
        <v>46</v>
      </c>
      <c r="C54" s="1308">
        <v>0</v>
      </c>
      <c r="D54" s="1308">
        <v>0</v>
      </c>
      <c r="E54" s="1308">
        <v>1</v>
      </c>
      <c r="F54" s="1308">
        <v>1344704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99</v>
      </c>
      <c r="D57" s="1308">
        <v>10879197.287454</v>
      </c>
      <c r="E57" s="1308">
        <v>140</v>
      </c>
      <c r="F57" s="1308">
        <v>7957557.38129918</v>
      </c>
    </row>
    <row r="58" spans="1:6">
      <c r="A58" s="1307" t="s">
        <v>48</v>
      </c>
      <c r="B58" s="1307" t="s">
        <v>50</v>
      </c>
      <c r="C58" s="1308">
        <v>61</v>
      </c>
      <c r="D58" s="1308">
        <v>7952214.7783525595</v>
      </c>
      <c r="E58" s="1308">
        <v>87</v>
      </c>
      <c r="F58" s="1308">
        <v>8915398.1590170693</v>
      </c>
    </row>
    <row r="59" spans="1:6">
      <c r="A59" s="1307" t="s">
        <v>48</v>
      </c>
      <c r="B59" s="1307" t="s">
        <v>51</v>
      </c>
      <c r="C59" s="1308">
        <v>282</v>
      </c>
      <c r="D59" s="1308">
        <v>23806532.6723991</v>
      </c>
      <c r="E59" s="1308">
        <v>482</v>
      </c>
      <c r="F59" s="1308">
        <v>26061505.943670899</v>
      </c>
    </row>
    <row r="60" spans="1:6">
      <c r="A60" s="1307" t="s">
        <v>48</v>
      </c>
      <c r="B60" s="1307" t="s">
        <v>52</v>
      </c>
      <c r="C60" s="1308">
        <v>148</v>
      </c>
      <c r="D60" s="1308">
        <v>7679369.5543433297</v>
      </c>
      <c r="E60" s="1308">
        <v>174</v>
      </c>
      <c r="F60" s="1308">
        <v>4836860.9247495197</v>
      </c>
    </row>
    <row r="61" spans="1:6">
      <c r="A61" s="1307" t="s">
        <v>48</v>
      </c>
      <c r="B61" s="1307" t="s">
        <v>53</v>
      </c>
      <c r="C61" s="1308">
        <v>431</v>
      </c>
      <c r="D61" s="1308">
        <v>25145083.037935499</v>
      </c>
      <c r="E61" s="1308">
        <v>911</v>
      </c>
      <c r="F61" s="1308">
        <v>24614271.294690002</v>
      </c>
    </row>
    <row r="62" spans="1:6">
      <c r="A62" s="1307" t="s">
        <v>48</v>
      </c>
      <c r="B62" s="1307" t="s">
        <v>54</v>
      </c>
      <c r="C62" s="1308">
        <v>31</v>
      </c>
      <c r="D62" s="1308">
        <v>6023617.7774246801</v>
      </c>
      <c r="E62" s="1308">
        <v>30</v>
      </c>
      <c r="F62" s="1308">
        <v>2049733.7407298801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155795.150215587</v>
      </c>
      <c r="E65" s="1308">
        <v>0</v>
      </c>
      <c r="F65" s="1308">
        <v>0</v>
      </c>
    </row>
    <row r="66" spans="1:6">
      <c r="A66" s="1307" t="s">
        <v>55</v>
      </c>
      <c r="B66" s="1307" t="s">
        <v>57</v>
      </c>
      <c r="C66" s="1308">
        <v>0</v>
      </c>
      <c r="D66" s="1308">
        <v>0</v>
      </c>
      <c r="E66" s="1308">
        <v>12</v>
      </c>
      <c r="F66" s="1308">
        <v>374710.90926127997</v>
      </c>
    </row>
    <row r="67" spans="1:6">
      <c r="A67" s="1309" t="s">
        <v>55</v>
      </c>
      <c r="B67" s="1309" t="s">
        <v>58</v>
      </c>
      <c r="C67" s="1308">
        <v>0</v>
      </c>
      <c r="D67" s="1308">
        <v>0</v>
      </c>
      <c r="E67" s="1308">
        <v>0</v>
      </c>
      <c r="F67" s="1308">
        <v>0</v>
      </c>
    </row>
    <row r="68" spans="1:6">
      <c r="A68" s="1302" t="s">
        <v>55</v>
      </c>
      <c r="B68" s="1302" t="s">
        <v>59</v>
      </c>
      <c r="C68" s="1311">
        <v>11</v>
      </c>
      <c r="D68" s="1311">
        <v>440268.14783138398</v>
      </c>
      <c r="E68" s="1311">
        <v>31</v>
      </c>
      <c r="F68" s="1311">
        <v>622513.82740120799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116943049</v>
      </c>
      <c r="E73" s="447"/>
      <c r="F73" s="326"/>
    </row>
    <row r="74" spans="1:6">
      <c r="A74" s="1307" t="s">
        <v>63</v>
      </c>
      <c r="B74" s="1307" t="s">
        <v>639</v>
      </c>
      <c r="C74" s="1321" t="s">
        <v>641</v>
      </c>
      <c r="D74" s="1322">
        <v>7913099.2074515037</v>
      </c>
      <c r="E74" s="447"/>
      <c r="F74" s="326"/>
    </row>
    <row r="75" spans="1:6">
      <c r="A75" s="1307" t="s">
        <v>64</v>
      </c>
      <c r="B75" s="1307" t="s">
        <v>638</v>
      </c>
      <c r="C75" s="1321" t="s">
        <v>642</v>
      </c>
      <c r="D75" s="1322">
        <v>31685073</v>
      </c>
      <c r="E75" s="447"/>
      <c r="F75" s="326"/>
    </row>
    <row r="76" spans="1:6">
      <c r="A76" s="1307" t="s">
        <v>64</v>
      </c>
      <c r="B76" s="1307" t="s">
        <v>639</v>
      </c>
      <c r="C76" s="1321" t="s">
        <v>643</v>
      </c>
      <c r="D76" s="1322">
        <v>1531093.207451504</v>
      </c>
      <c r="E76" s="447"/>
      <c r="F76" s="326"/>
    </row>
    <row r="77" spans="1:6">
      <c r="A77" s="1307" t="s">
        <v>65</v>
      </c>
      <c r="B77" s="1307" t="s">
        <v>638</v>
      </c>
      <c r="C77" s="1321" t="s">
        <v>644</v>
      </c>
      <c r="D77" s="1322">
        <v>93962824</v>
      </c>
      <c r="E77" s="447"/>
      <c r="F77" s="326"/>
    </row>
    <row r="78" spans="1:6">
      <c r="A78" s="1302" t="s">
        <v>65</v>
      </c>
      <c r="B78" s="1302" t="s">
        <v>639</v>
      </c>
      <c r="C78" s="1302" t="s">
        <v>645</v>
      </c>
      <c r="D78" s="1323">
        <v>15367229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612715.58509699197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6580.5864133255254</v>
      </c>
      <c r="C91" s="326"/>
      <c r="D91" s="326"/>
      <c r="E91" s="326"/>
      <c r="F91" s="326"/>
    </row>
    <row r="92" spans="1:6">
      <c r="A92" s="1302" t="s">
        <v>68</v>
      </c>
      <c r="B92" s="1303">
        <v>6577.3490707624132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6292</v>
      </c>
      <c r="C97" s="326"/>
      <c r="D97" s="326"/>
      <c r="E97" s="326"/>
      <c r="F97" s="326"/>
    </row>
    <row r="98" spans="1:6">
      <c r="A98" s="1307" t="s">
        <v>71</v>
      </c>
      <c r="B98" s="1308">
        <v>7</v>
      </c>
      <c r="C98" s="326"/>
      <c r="D98" s="326"/>
      <c r="E98" s="326"/>
      <c r="F98" s="326"/>
    </row>
    <row r="99" spans="1:6">
      <c r="A99" s="1307" t="s">
        <v>72</v>
      </c>
      <c r="B99" s="1308">
        <v>107</v>
      </c>
      <c r="C99" s="326"/>
      <c r="D99" s="326"/>
      <c r="E99" s="326"/>
      <c r="F99" s="326"/>
    </row>
    <row r="100" spans="1:6">
      <c r="A100" s="1307" t="s">
        <v>73</v>
      </c>
      <c r="B100" s="1308">
        <v>383</v>
      </c>
      <c r="C100" s="326"/>
      <c r="D100" s="326"/>
      <c r="E100" s="326"/>
      <c r="F100" s="326"/>
    </row>
    <row r="101" spans="1:6">
      <c r="A101" s="1307" t="s">
        <v>74</v>
      </c>
      <c r="B101" s="1308">
        <v>115</v>
      </c>
      <c r="C101" s="326"/>
      <c r="D101" s="326"/>
      <c r="E101" s="326"/>
      <c r="F101" s="326"/>
    </row>
    <row r="102" spans="1:6">
      <c r="A102" s="1307" t="s">
        <v>75</v>
      </c>
      <c r="B102" s="1308">
        <v>106</v>
      </c>
      <c r="C102" s="326"/>
      <c r="D102" s="326"/>
      <c r="E102" s="326"/>
      <c r="F102" s="326"/>
    </row>
    <row r="103" spans="1:6">
      <c r="A103" s="1307" t="s">
        <v>76</v>
      </c>
      <c r="B103" s="1308">
        <v>207</v>
      </c>
      <c r="C103" s="326"/>
      <c r="D103" s="326"/>
      <c r="E103" s="326"/>
      <c r="F103" s="326"/>
    </row>
    <row r="104" spans="1:6">
      <c r="A104" s="1307" t="s">
        <v>77</v>
      </c>
      <c r="B104" s="1308">
        <v>2932</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42</v>
      </c>
      <c r="C123" s="1308">
        <v>60</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250</v>
      </c>
      <c r="C129" s="326"/>
      <c r="D129" s="326"/>
      <c r="E129" s="326"/>
      <c r="F129" s="326"/>
    </row>
    <row r="130" spans="1:6">
      <c r="A130" s="1307" t="s">
        <v>290</v>
      </c>
      <c r="B130" s="1308">
        <v>1</v>
      </c>
      <c r="C130" s="326"/>
      <c r="D130" s="326"/>
      <c r="E130" s="326"/>
      <c r="F130" s="326"/>
    </row>
    <row r="131" spans="1:6">
      <c r="A131" s="1307" t="s">
        <v>291</v>
      </c>
      <c r="B131" s="1308">
        <v>20</v>
      </c>
      <c r="C131" s="326"/>
      <c r="D131" s="326"/>
      <c r="E131" s="326"/>
      <c r="F131" s="326"/>
    </row>
    <row r="132" spans="1:6">
      <c r="A132" s="1302" t="s">
        <v>292</v>
      </c>
      <c r="B132" s="1303">
        <v>36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228038.05870964102</v>
      </c>
      <c r="C3" s="43" t="s">
        <v>169</v>
      </c>
      <c r="D3" s="43"/>
      <c r="E3" s="154"/>
      <c r="F3" s="43"/>
      <c r="G3" s="43"/>
      <c r="H3" s="43"/>
      <c r="I3" s="43"/>
      <c r="J3" s="43"/>
      <c r="K3" s="96"/>
    </row>
    <row r="4" spans="1:11">
      <c r="A4" s="354" t="s">
        <v>170</v>
      </c>
      <c r="B4" s="49">
        <f>IF(ISERROR('SEAP template'!B78+'SEAP template'!C78),0,'SEAP template'!B78+'SEAP template'!C78)</f>
        <v>57585.935484087939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10344.188775869556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0.21055304662917143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14777.420336099562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62182.889961389963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0.23764447656381077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1344.704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1344.704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0.21055304662917143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283.13152401443335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36727.193490408601</v>
      </c>
      <c r="C5" s="17">
        <f>IF(ISERROR('Eigen informatie GS &amp; warmtenet'!B59),0,'Eigen informatie GS &amp; warmtenet'!B59)</f>
        <v>0</v>
      </c>
      <c r="D5" s="30">
        <f>(SUM(HH_hh_gas_kWh,HH_rest_gas_kWh)/1000)*0.903</f>
        <v>131247.20444220328</v>
      </c>
      <c r="E5" s="17">
        <f>B32*B41</f>
        <v>1800.8642555883841</v>
      </c>
      <c r="F5" s="17">
        <f>B36*B45</f>
        <v>40904.61568828985</v>
      </c>
      <c r="G5" s="18"/>
      <c r="H5" s="17"/>
      <c r="I5" s="17"/>
      <c r="J5" s="17">
        <f>B35*B44+C35*C44</f>
        <v>204.63889088747194</v>
      </c>
      <c r="K5" s="17"/>
      <c r="L5" s="17"/>
      <c r="M5" s="17"/>
      <c r="N5" s="17">
        <f>B34*B43+C34*C43</f>
        <v>16200.452560463646</v>
      </c>
      <c r="O5" s="17">
        <f>B52*B53*B54</f>
        <v>615.02704800997992</v>
      </c>
      <c r="P5" s="17">
        <f>B60*B61*B62/1000-B60*B61*B62/1000/B63</f>
        <v>842.71674461480166</v>
      </c>
    </row>
    <row r="6" spans="1:16">
      <c r="A6" s="16" t="s">
        <v>604</v>
      </c>
      <c r="B6" s="779">
        <f>kWh_PV_kleiner_dan_10kW</f>
        <v>6580.5864133255254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43307.779903734125</v>
      </c>
      <c r="C8" s="21">
        <f>C5</f>
        <v>0</v>
      </c>
      <c r="D8" s="21">
        <f>D5</f>
        <v>131247.20444220328</v>
      </c>
      <c r="E8" s="21">
        <f>E5</f>
        <v>1800.8642555883841</v>
      </c>
      <c r="F8" s="21">
        <f>F5</f>
        <v>40904.61568828985</v>
      </c>
      <c r="G8" s="21"/>
      <c r="H8" s="21"/>
      <c r="I8" s="21"/>
      <c r="J8" s="21">
        <f>J5</f>
        <v>204.63889088747194</v>
      </c>
      <c r="K8" s="21"/>
      <c r="L8" s="21">
        <f>L5</f>
        <v>0</v>
      </c>
      <c r="M8" s="21">
        <f>M5</f>
        <v>0</v>
      </c>
      <c r="N8" s="21">
        <f>N5</f>
        <v>16200.452560463646</v>
      </c>
      <c r="O8" s="21">
        <f>O5</f>
        <v>615.02704800997992</v>
      </c>
      <c r="P8" s="21">
        <f>P5</f>
        <v>842.71674461480166</v>
      </c>
    </row>
    <row r="9" spans="1:16">
      <c r="B9" s="19"/>
      <c r="C9" s="19"/>
      <c r="D9" s="254"/>
      <c r="E9" s="19"/>
      <c r="F9" s="19"/>
      <c r="G9" s="19"/>
      <c r="H9" s="19"/>
      <c r="I9" s="19"/>
      <c r="J9" s="19"/>
      <c r="K9" s="19"/>
      <c r="L9" s="19"/>
      <c r="M9" s="19"/>
      <c r="N9" s="19"/>
      <c r="O9" s="19"/>
      <c r="P9" s="19"/>
    </row>
    <row r="10" spans="1:16">
      <c r="A10" s="24" t="s">
        <v>213</v>
      </c>
      <c r="B10" s="25">
        <f ca="1">'EF ele_warmte'!B12</f>
        <v>0.21055304662917143</v>
      </c>
      <c r="C10" s="25">
        <f ca="1">'EF ele_warmte'!B22</f>
        <v>0.23764447656381077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9118.5850014768239</v>
      </c>
      <c r="C12" s="23">
        <f ca="1">C10*C8</f>
        <v>0</v>
      </c>
      <c r="D12" s="23">
        <f>D8*D10</f>
        <v>26511.935297325064</v>
      </c>
      <c r="E12" s="23">
        <f>E10*E8</f>
        <v>408.79618601856322</v>
      </c>
      <c r="F12" s="23">
        <f>F10*F8</f>
        <v>10921.53238877339</v>
      </c>
      <c r="G12" s="23"/>
      <c r="H12" s="23"/>
      <c r="I12" s="23"/>
      <c r="J12" s="23">
        <f>J10*J8</f>
        <v>72.442167374165066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12572</v>
      </c>
      <c r="C26" s="36"/>
      <c r="D26" s="225"/>
    </row>
    <row r="27" spans="1:5" s="15" customFormat="1">
      <c r="A27" s="227" t="s">
        <v>817</v>
      </c>
      <c r="B27" s="37">
        <f>SUM(HH_hh_gas_aantal,HH_rest_gas_aantal)</f>
        <v>10097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9592.15</v>
      </c>
      <c r="C31" s="34" t="s">
        <v>110</v>
      </c>
      <c r="D31" s="171"/>
    </row>
    <row r="32" spans="1:5">
      <c r="A32" s="168" t="s">
        <v>72</v>
      </c>
      <c r="B32" s="33">
        <f>IF((B21*($B$26-($B$27-0.05*$B$27)-$B$60))&lt;0,0,B21*($B$26-($B$27-0.05*$B$27)-$B$60))</f>
        <v>44.632632443885534</v>
      </c>
      <c r="C32" s="34" t="s">
        <v>110</v>
      </c>
      <c r="D32" s="171"/>
    </row>
    <row r="33" spans="1:6">
      <c r="A33" s="168" t="s">
        <v>73</v>
      </c>
      <c r="B33" s="33">
        <f>IF((B22*($B$26-($B$27-0.05*$B$27)-$B$60))&lt;0,0,B22*($B$26-($B$27-0.05*$B$27)-$B$60))</f>
        <v>724.74555498992254</v>
      </c>
      <c r="C33" s="34" t="s">
        <v>110</v>
      </c>
      <c r="D33" s="171"/>
    </row>
    <row r="34" spans="1:6">
      <c r="A34" s="168" t="s">
        <v>74</v>
      </c>
      <c r="B34" s="33">
        <f>IF((B24*($B$26-($B$27-0.05*$B$27)-$B$60))&lt;0,0,B24*($B$26-($B$27-0.05*$B$27)-$B$60))</f>
        <v>138.82368236165371</v>
      </c>
      <c r="C34" s="33">
        <f>B26*C24</f>
        <v>2574.4174724560148</v>
      </c>
      <c r="D34" s="230"/>
    </row>
    <row r="35" spans="1:6">
      <c r="A35" s="168" t="s">
        <v>76</v>
      </c>
      <c r="B35" s="33">
        <f>IF((B19*($B$26-($B$27-0.05*$B$27)-$B$60))&lt;0,0,B19*($B$26-($B$27-0.05*$B$27)-$B$60))</f>
        <v>19.401698916248787</v>
      </c>
      <c r="C35" s="33">
        <f>B35/2</f>
        <v>9.7008494581243934</v>
      </c>
      <c r="D35" s="230"/>
    </row>
    <row r="36" spans="1:6">
      <c r="A36" s="168" t="s">
        <v>77</v>
      </c>
      <c r="B36" s="33">
        <f>IF((B18*($B$26-($B$27-0.05*$B$27)-$B$60))&lt;0,0,B18*($B$26-($B$27-0.05*$B$27)-$B$60))</f>
        <v>1972.2464312882889</v>
      </c>
      <c r="C36" s="34" t="s">
        <v>110</v>
      </c>
      <c r="D36" s="171"/>
    </row>
    <row r="37" spans="1:6">
      <c r="A37" s="168" t="s">
        <v>78</v>
      </c>
      <c r="B37" s="33">
        <f>B60</f>
        <v>80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74435.327444156545</v>
      </c>
      <c r="C5" s="17">
        <f>IF(ISERROR('Eigen informatie GS &amp; warmtenet'!B60),0,'Eigen informatie GS &amp; warmtenet'!B60)</f>
        <v>0</v>
      </c>
      <c r="D5" s="30">
        <f>SUM(D6:D12)</f>
        <v>73581.871642441984</v>
      </c>
      <c r="E5" s="17">
        <f>SUM(E6:E12)</f>
        <v>211.45873000821794</v>
      </c>
      <c r="F5" s="17">
        <f>SUM(F6:F12)</f>
        <v>11185.241518265804</v>
      </c>
      <c r="G5" s="18"/>
      <c r="H5" s="17"/>
      <c r="I5" s="17"/>
      <c r="J5" s="17">
        <f>SUM(J6:J12)</f>
        <v>7.8587405189710455E-2</v>
      </c>
      <c r="K5" s="17"/>
      <c r="L5" s="17"/>
      <c r="M5" s="17"/>
      <c r="N5" s="17">
        <f>SUM(N6:N12)</f>
        <v>2935.0479842681571</v>
      </c>
      <c r="O5" s="17">
        <f>B38*B39*B40</f>
        <v>4.8972607658411542</v>
      </c>
      <c r="P5" s="17">
        <f>B46*B47*B48/1000-B46*B47*B48/1000/B49</f>
        <v>1155.8610427428903</v>
      </c>
      <c r="R5" s="32"/>
    </row>
    <row r="6" spans="1:18">
      <c r="A6" s="32" t="s">
        <v>53</v>
      </c>
      <c r="B6" s="37">
        <f>B26</f>
        <v>24614.271294690003</v>
      </c>
      <c r="C6" s="33"/>
      <c r="D6" s="37">
        <f>IF(ISERROR(TER_kantoor_gas_kWh/1000),0,TER_kantoor_gas_kWh/1000)*0.903</f>
        <v>22706.009983255757</v>
      </c>
      <c r="E6" s="33">
        <f>$C$26*'E Balans VL '!I12/100/3.6*1000000</f>
        <v>5.8969943303561916</v>
      </c>
      <c r="F6" s="33">
        <f>$C$26*('E Balans VL '!L12+'E Balans VL '!N12)/100/3.6*1000000</f>
        <v>2334.1424366415022</v>
      </c>
      <c r="G6" s="34"/>
      <c r="H6" s="33"/>
      <c r="I6" s="33"/>
      <c r="J6" s="33">
        <f>$C$26*('E Balans VL '!D12+'E Balans VL '!E12)/100/3.6*1000000</f>
        <v>0</v>
      </c>
      <c r="K6" s="33"/>
      <c r="L6" s="33"/>
      <c r="M6" s="33"/>
      <c r="N6" s="33">
        <f>$C$26*'E Balans VL '!Y12/100/3.6*1000000</f>
        <v>12.50277667662111</v>
      </c>
      <c r="O6" s="33"/>
      <c r="P6" s="33"/>
      <c r="R6" s="32"/>
    </row>
    <row r="7" spans="1:18">
      <c r="A7" s="32" t="s">
        <v>52</v>
      </c>
      <c r="B7" s="37">
        <f t="shared" ref="B7:B12" si="0">B27</f>
        <v>4836.8609247495197</v>
      </c>
      <c r="C7" s="33"/>
      <c r="D7" s="37">
        <f>IF(ISERROR(TER_horeca_gas_kWh/1000),0,TER_horeca_gas_kWh/1000)*0.903</f>
        <v>6934.4707075720271</v>
      </c>
      <c r="E7" s="33">
        <f>$C$27*'E Balans VL '!I9/100/3.6*1000000</f>
        <v>0</v>
      </c>
      <c r="F7" s="33">
        <f>$C$27*('E Balans VL '!L9+'E Balans VL '!N9)/100/3.6*1000000</f>
        <v>396.61122587224713</v>
      </c>
      <c r="G7" s="34"/>
      <c r="H7" s="33"/>
      <c r="I7" s="33"/>
      <c r="J7" s="33">
        <f>$C$27*('E Balans VL '!D9+'E Balans VL '!E9)/100/3.6*1000000</f>
        <v>0</v>
      </c>
      <c r="K7" s="33"/>
      <c r="L7" s="33"/>
      <c r="M7" s="33"/>
      <c r="N7" s="33">
        <f>$C$27*'E Balans VL '!Y9/100/3.6*1000000</f>
        <v>1.4826922042566899</v>
      </c>
      <c r="O7" s="33"/>
      <c r="P7" s="33"/>
      <c r="R7" s="32"/>
    </row>
    <row r="8" spans="1:18">
      <c r="A8" s="6" t="s">
        <v>51</v>
      </c>
      <c r="B8" s="37">
        <f t="shared" si="0"/>
        <v>26061.505943670898</v>
      </c>
      <c r="C8" s="33"/>
      <c r="D8" s="37">
        <f>IF(ISERROR(TER_handel_gas_kWh/1000),0,TER_handel_gas_kWh/1000)*0.903</f>
        <v>21497.299003176387</v>
      </c>
      <c r="E8" s="33">
        <f>$C$28*'E Balans VL '!I13/100/3.6*1000000</f>
        <v>91.591949395077933</v>
      </c>
      <c r="F8" s="33">
        <f>$C$28*('E Balans VL '!L13+'E Balans VL '!N13)/100/3.6*1000000</f>
        <v>2384.5809917490824</v>
      </c>
      <c r="G8" s="34"/>
      <c r="H8" s="33"/>
      <c r="I8" s="33"/>
      <c r="J8" s="33">
        <f>$C$28*('E Balans VL '!D13+'E Balans VL '!E13)/100/3.6*1000000</f>
        <v>0</v>
      </c>
      <c r="K8" s="33"/>
      <c r="L8" s="33"/>
      <c r="M8" s="33"/>
      <c r="N8" s="33">
        <f>$C$28*'E Balans VL '!Y13/100/3.6*1000000</f>
        <v>9.4383554629766646</v>
      </c>
      <c r="O8" s="33"/>
      <c r="P8" s="33"/>
      <c r="R8" s="32"/>
    </row>
    <row r="9" spans="1:18">
      <c r="A9" s="32" t="s">
        <v>50</v>
      </c>
      <c r="B9" s="37">
        <f t="shared" si="0"/>
        <v>8915.3981590170697</v>
      </c>
      <c r="C9" s="33"/>
      <c r="D9" s="37">
        <f>IF(ISERROR(TER_gezond_gas_kWh/1000),0,TER_gezond_gas_kWh/1000)*0.903</f>
        <v>7180.8499448523617</v>
      </c>
      <c r="E9" s="33">
        <f>$C$29*'E Balans VL '!I10/100/3.6*1000000</f>
        <v>0</v>
      </c>
      <c r="F9" s="33">
        <f>$C$29*('E Balans VL '!L10+'E Balans VL '!N10)/100/3.6*1000000</f>
        <v>1092.8641013002052</v>
      </c>
      <c r="G9" s="34"/>
      <c r="H9" s="33"/>
      <c r="I9" s="33"/>
      <c r="J9" s="33">
        <f>$C$29*('E Balans VL '!D10+'E Balans VL '!E10)/100/3.6*1000000</f>
        <v>0</v>
      </c>
      <c r="K9" s="33"/>
      <c r="L9" s="33"/>
      <c r="M9" s="33"/>
      <c r="N9" s="33">
        <f>$C$29*'E Balans VL '!Y10/100/3.6*1000000</f>
        <v>65.744848684434899</v>
      </c>
      <c r="O9" s="33"/>
      <c r="P9" s="33"/>
      <c r="R9" s="32"/>
    </row>
    <row r="10" spans="1:18">
      <c r="A10" s="32" t="s">
        <v>49</v>
      </c>
      <c r="B10" s="37">
        <f t="shared" si="0"/>
        <v>7957.5573812991797</v>
      </c>
      <c r="C10" s="33"/>
      <c r="D10" s="37">
        <f>IF(ISERROR(TER_ander_gas_kWh/1000),0,TER_ander_gas_kWh/1000)*0.903</f>
        <v>9823.9151505709633</v>
      </c>
      <c r="E10" s="33">
        <f>$C$30*'E Balans VL '!I14/100/3.6*1000000</f>
        <v>113.96978628278382</v>
      </c>
      <c r="F10" s="33">
        <f>$C$30*('E Balans VL '!L14+'E Balans VL '!N14)/100/3.6*1000000</f>
        <v>4737.4044793359544</v>
      </c>
      <c r="G10" s="34"/>
      <c r="H10" s="33"/>
      <c r="I10" s="33"/>
      <c r="J10" s="33">
        <f>$C$30*('E Balans VL '!D14+'E Balans VL '!E14)/100/3.6*1000000</f>
        <v>7.8587405189710455E-2</v>
      </c>
      <c r="K10" s="33"/>
      <c r="L10" s="33"/>
      <c r="M10" s="33"/>
      <c r="N10" s="33">
        <f>$C$30*'E Balans VL '!Y14/100/3.6*1000000</f>
        <v>2840.1074963993929</v>
      </c>
      <c r="O10" s="33"/>
      <c r="P10" s="33"/>
      <c r="R10" s="32"/>
    </row>
    <row r="11" spans="1:18">
      <c r="A11" s="32" t="s">
        <v>54</v>
      </c>
      <c r="B11" s="37">
        <f t="shared" si="0"/>
        <v>2049.7337407298801</v>
      </c>
      <c r="C11" s="33"/>
      <c r="D11" s="37">
        <f>IF(ISERROR(TER_onderwijs_gas_kWh/1000),0,TER_onderwijs_gas_kWh/1000)*0.903</f>
        <v>5439.326853014486</v>
      </c>
      <c r="E11" s="33">
        <f>$C$31*'E Balans VL '!I11/100/3.6*1000000</f>
        <v>0</v>
      </c>
      <c r="F11" s="33">
        <f>$C$31*('E Balans VL '!L11+'E Balans VL '!N11)/100/3.6*1000000</f>
        <v>239.63828336681379</v>
      </c>
      <c r="G11" s="34"/>
      <c r="H11" s="33"/>
      <c r="I11" s="33"/>
      <c r="J11" s="33">
        <f>$C$31*('E Balans VL '!D11+'E Balans VL '!E11)/100/3.6*1000000</f>
        <v>0</v>
      </c>
      <c r="K11" s="33"/>
      <c r="L11" s="33"/>
      <c r="M11" s="33"/>
      <c r="N11" s="33">
        <f>$C$31*'E Balans VL '!Y11/100/3.6*1000000</f>
        <v>5.7718148404747742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908.5</v>
      </c>
      <c r="C13" s="243">
        <f ca="1">'lokale energieproductie'!O41+'lokale energieproductie'!O34</f>
        <v>12.175675675675675</v>
      </c>
      <c r="D13" s="304">
        <f ca="1">('lokale energieproductie'!P34+'lokale energieproductie'!P41)*(-1)</f>
        <v>-22.972972972972972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-2571.4285714285716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75343.827444156545</v>
      </c>
      <c r="C16" s="21">
        <f t="shared" ca="1" si="1"/>
        <v>12.175675675675675</v>
      </c>
      <c r="D16" s="21">
        <f t="shared" ca="1" si="1"/>
        <v>73558.89866946901</v>
      </c>
      <c r="E16" s="21">
        <f t="shared" si="1"/>
        <v>211.45873000821794</v>
      </c>
      <c r="F16" s="21">
        <f t="shared" ca="1" si="1"/>
        <v>11185.241518265804</v>
      </c>
      <c r="G16" s="21">
        <f t="shared" si="1"/>
        <v>0</v>
      </c>
      <c r="H16" s="21">
        <f t="shared" si="1"/>
        <v>0</v>
      </c>
      <c r="I16" s="21">
        <f t="shared" si="1"/>
        <v>0</v>
      </c>
      <c r="J16" s="21">
        <f t="shared" si="1"/>
        <v>7.8587405189710455E-2</v>
      </c>
      <c r="K16" s="21">
        <f t="shared" si="1"/>
        <v>0</v>
      </c>
      <c r="L16" s="21">
        <f t="shared" ca="1" si="1"/>
        <v>0</v>
      </c>
      <c r="M16" s="21">
        <f t="shared" si="1"/>
        <v>0</v>
      </c>
      <c r="N16" s="21">
        <f t="shared" ca="1" si="1"/>
        <v>363.61941283958549</v>
      </c>
      <c r="O16" s="21">
        <f>O5</f>
        <v>4.8972607658411542</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0.21055304662917143</v>
      </c>
      <c r="C18" s="25">
        <f ca="1">'EF ele_warmte'!B22</f>
        <v>0.23764447656381077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15863.872413069739</v>
      </c>
      <c r="C20" s="23">
        <f t="shared" ref="C20:P20" ca="1" si="2">C16*C18</f>
        <v>2.8934820727566688</v>
      </c>
      <c r="D20" s="23">
        <f t="shared" ca="1" si="2"/>
        <v>14858.89753123274</v>
      </c>
      <c r="E20" s="23">
        <f t="shared" si="2"/>
        <v>48.001131711865476</v>
      </c>
      <c r="F20" s="23">
        <f t="shared" ca="1" si="2"/>
        <v>2986.45948537697</v>
      </c>
      <c r="G20" s="23">
        <f t="shared" si="2"/>
        <v>0</v>
      </c>
      <c r="H20" s="23">
        <f t="shared" si="2"/>
        <v>0</v>
      </c>
      <c r="I20" s="23">
        <f t="shared" si="2"/>
        <v>0</v>
      </c>
      <c r="J20" s="23">
        <f t="shared" si="2"/>
        <v>2.7819941437157499E-2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24614.271294690003</v>
      </c>
      <c r="C26" s="39">
        <f>IF(ISERROR(B26*3.6/1000000/'E Balans VL '!Z12*100),0,B26*3.6/1000000/'E Balans VL '!Z12*100)</f>
        <v>0.69418763240081716</v>
      </c>
      <c r="D26" s="233" t="s">
        <v>691</v>
      </c>
      <c r="F26" s="6"/>
    </row>
    <row r="27" spans="1:18">
      <c r="A27" s="228" t="s">
        <v>52</v>
      </c>
      <c r="B27" s="33">
        <f>IF(ISERROR(TER_horeca_ele_kWh/1000),0,TER_horeca_ele_kWh/1000)</f>
        <v>4836.8609247495197</v>
      </c>
      <c r="C27" s="39">
        <f>IF(ISERROR(B27*3.6/1000000/'E Balans VL '!Z9*100),0,B27*3.6/1000000/'E Balans VL '!Z9*100)</f>
        <v>0.35859381829490844</v>
      </c>
      <c r="D27" s="233" t="s">
        <v>691</v>
      </c>
      <c r="F27" s="6"/>
    </row>
    <row r="28" spans="1:18">
      <c r="A28" s="168" t="s">
        <v>51</v>
      </c>
      <c r="B28" s="33">
        <f>IF(ISERROR(TER_handel_ele_kWh/1000),0,TER_handel_ele_kWh/1000)</f>
        <v>26061.505943670898</v>
      </c>
      <c r="C28" s="39">
        <f>IF(ISERROR(B28*3.6/1000000/'E Balans VL '!Z13*100),0,B28*3.6/1000000/'E Balans VL '!Z13*100)</f>
        <v>0.78074075452854064</v>
      </c>
      <c r="D28" s="233" t="s">
        <v>691</v>
      </c>
      <c r="F28" s="6"/>
    </row>
    <row r="29" spans="1:18">
      <c r="A29" s="228" t="s">
        <v>50</v>
      </c>
      <c r="B29" s="33">
        <f>IF(ISERROR(TER_gezond_ele_kWh/1000),0,TER_gezond_ele_kWh/1000)</f>
        <v>8915.3981590170697</v>
      </c>
      <c r="C29" s="39">
        <f>IF(ISERROR(B29*3.6/1000000/'E Balans VL '!Z10*100),0,B29*3.6/1000000/'E Balans VL '!Z10*100)</f>
        <v>0.88155806433708306</v>
      </c>
      <c r="D29" s="233" t="s">
        <v>691</v>
      </c>
      <c r="F29" s="6"/>
    </row>
    <row r="30" spans="1:18">
      <c r="A30" s="228" t="s">
        <v>49</v>
      </c>
      <c r="B30" s="33">
        <f>IF(ISERROR(TER_ander_ele_kWh/1000),0,TER_ander_ele_kWh/1000)</f>
        <v>7957.5573812991797</v>
      </c>
      <c r="C30" s="39">
        <f>IF(ISERROR(B30*3.6/1000000/'E Balans VL '!Z14*100),0,B30*3.6/1000000/'E Balans VL '!Z14*100)</f>
        <v>0.32185967995785852</v>
      </c>
      <c r="D30" s="233" t="s">
        <v>691</v>
      </c>
      <c r="F30" s="6"/>
    </row>
    <row r="31" spans="1:18">
      <c r="A31" s="228" t="s">
        <v>54</v>
      </c>
      <c r="B31" s="33">
        <f>IF(ISERROR(TER_onderwijs_ele_kWh/1000),0,TER_onderwijs_ele_kWh/1000)</f>
        <v>2049.7337407298801</v>
      </c>
      <c r="C31" s="39">
        <f>IF(ISERROR(B31*3.6/1000000/'E Balans VL '!Z11*100),0,B31*3.6/1000000/'E Balans VL '!Z11*100)</f>
        <v>0.56315150293762462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104138.51048932709</v>
      </c>
      <c r="C5" s="17">
        <f>IF(ISERROR('Eigen informatie GS &amp; warmtenet'!B61),0,'Eigen informatie GS &amp; warmtenet'!B61)</f>
        <v>0</v>
      </c>
      <c r="D5" s="30">
        <f>SUM(D6:D15)</f>
        <v>46608.986666153185</v>
      </c>
      <c r="E5" s="17">
        <f>SUM(E6:E15)</f>
        <v>389.38839515943914</v>
      </c>
      <c r="F5" s="17">
        <f>SUM(F6:F15)</f>
        <v>12696.185210193378</v>
      </c>
      <c r="G5" s="18"/>
      <c r="H5" s="17"/>
      <c r="I5" s="17"/>
      <c r="J5" s="17">
        <f>SUM(J6:J15)</f>
        <v>30.263519003758127</v>
      </c>
      <c r="K5" s="17"/>
      <c r="L5" s="17"/>
      <c r="M5" s="17"/>
      <c r="N5" s="17">
        <f>SUM(N6:N15)</f>
        <v>2763.9909011126811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34062.007542280597</v>
      </c>
      <c r="C8" s="33"/>
      <c r="D8" s="37">
        <f>IF( ISERROR(IND_metaal_Gas_kWH/1000),0,IND_metaal_Gas_kWH/1000)*0.903</f>
        <v>9027.966529823063</v>
      </c>
      <c r="E8" s="33">
        <f>C30*'E Balans VL '!I18/100/3.6*1000000</f>
        <v>171.74658514429041</v>
      </c>
      <c r="F8" s="33">
        <f>C30*'E Balans VL '!L18/100/3.6*1000000+C30*'E Balans VL '!N18/100/3.6*1000000</f>
        <v>2327.1859593329118</v>
      </c>
      <c r="G8" s="34"/>
      <c r="H8" s="33"/>
      <c r="I8" s="33"/>
      <c r="J8" s="40">
        <f>C30*'E Balans VL '!D18/100/3.6*1000000+C30*'E Balans VL '!E18/100/3.6*1000000</f>
        <v>30.198875212905492</v>
      </c>
      <c r="K8" s="33"/>
      <c r="L8" s="33"/>
      <c r="M8" s="33"/>
      <c r="N8" s="33">
        <f>C30*'E Balans VL '!Y18/100/3.6*1000000</f>
        <v>452.68428237882245</v>
      </c>
      <c r="O8" s="33"/>
      <c r="P8" s="33"/>
      <c r="R8" s="32"/>
    </row>
    <row r="9" spans="1:18">
      <c r="A9" s="6" t="s">
        <v>32</v>
      </c>
      <c r="B9" s="37">
        <f t="shared" si="0"/>
        <v>15560.903508318501</v>
      </c>
      <c r="C9" s="33"/>
      <c r="D9" s="37">
        <f>IF( ISERROR(IND_andere_gas_kWh/1000),0,IND_andere_gas_kWh/1000)*0.903</f>
        <v>7359.7423616274946</v>
      </c>
      <c r="E9" s="33">
        <f>C31*'E Balans VL '!I19/100/3.6*1000000</f>
        <v>49.051645573591976</v>
      </c>
      <c r="F9" s="33">
        <f>C31*'E Balans VL '!L19/100/3.6*1000000+C31*'E Balans VL '!N19/100/3.6*1000000</f>
        <v>9525.730656242722</v>
      </c>
      <c r="G9" s="34"/>
      <c r="H9" s="33"/>
      <c r="I9" s="33"/>
      <c r="J9" s="40">
        <f>C31*'E Balans VL '!D19/100/3.6*1000000+C31*'E Balans VL '!E19/100/3.6*1000000</f>
        <v>0</v>
      </c>
      <c r="K9" s="33"/>
      <c r="L9" s="33"/>
      <c r="M9" s="33"/>
      <c r="N9" s="33">
        <f>C31*'E Balans VL '!Y19/100/3.6*1000000</f>
        <v>652.48981302323352</v>
      </c>
      <c r="O9" s="33"/>
      <c r="P9" s="33"/>
      <c r="R9" s="32"/>
    </row>
    <row r="10" spans="1:18">
      <c r="A10" s="6" t="s">
        <v>40</v>
      </c>
      <c r="B10" s="37">
        <f t="shared" si="0"/>
        <v>50239.474813847999</v>
      </c>
      <c r="C10" s="33"/>
      <c r="D10" s="37">
        <f>IF( ISERROR(IND_voed_gas_kWh/1000),0,IND_voed_gas_kWh/1000)*0.903</f>
        <v>29514.940718862817</v>
      </c>
      <c r="E10" s="33">
        <f>C32*'E Balans VL '!I20/100/3.6*1000000</f>
        <v>80.067613438113156</v>
      </c>
      <c r="F10" s="33">
        <f>C32*'E Balans VL '!L20/100/3.6*1000000+C32*'E Balans VL '!N20/100/3.6*1000000</f>
        <v>816.26942020634488</v>
      </c>
      <c r="G10" s="34"/>
      <c r="H10" s="33"/>
      <c r="I10" s="33"/>
      <c r="J10" s="40">
        <f>C32*'E Balans VL '!D20/100/3.6*1000000+C32*'E Balans VL '!E20/100/3.6*1000000</f>
        <v>0</v>
      </c>
      <c r="K10" s="33"/>
      <c r="L10" s="33"/>
      <c r="M10" s="33"/>
      <c r="N10" s="33">
        <f>C32*'E Balans VL '!Y20/100/3.6*1000000</f>
        <v>1586.8135292436746</v>
      </c>
      <c r="O10" s="33"/>
      <c r="P10" s="33"/>
      <c r="R10" s="32"/>
    </row>
    <row r="11" spans="1:18">
      <c r="A11" s="6" t="s">
        <v>39</v>
      </c>
      <c r="B11" s="37">
        <f t="shared" si="0"/>
        <v>36.770625728335396</v>
      </c>
      <c r="C11" s="33"/>
      <c r="D11" s="37">
        <f>IF( ISERROR(IND_textiel_gas_kWh/1000),0,IND_textiel_gas_kWh/1000)*0.903</f>
        <v>0</v>
      </c>
      <c r="E11" s="33">
        <f>C33*'E Balans VL '!I21/100/3.6*1000000</f>
        <v>5.3347458885264022E-2</v>
      </c>
      <c r="F11" s="33">
        <f>C33*'E Balans VL '!L21/100/3.6*1000000+C33*'E Balans VL '!N21/100/3.6*1000000</f>
        <v>0.71962477126159996</v>
      </c>
      <c r="G11" s="34"/>
      <c r="H11" s="33"/>
      <c r="I11" s="33"/>
      <c r="J11" s="40">
        <f>C33*'E Balans VL '!D21/100/3.6*1000000+C33*'E Balans VL '!E21/100/3.6*1000000</f>
        <v>0</v>
      </c>
      <c r="K11" s="33"/>
      <c r="L11" s="33"/>
      <c r="M11" s="33"/>
      <c r="N11" s="33">
        <f>C33*'E Balans VL '!Y21/100/3.6*1000000</f>
        <v>1.7913814329663582</v>
      </c>
      <c r="O11" s="33"/>
      <c r="P11" s="33"/>
      <c r="R11" s="32"/>
    </row>
    <row r="12" spans="1:18">
      <c r="A12" s="6" t="s">
        <v>36</v>
      </c>
      <c r="B12" s="37">
        <f t="shared" si="0"/>
        <v>411.027266447844</v>
      </c>
      <c r="C12" s="33"/>
      <c r="D12" s="37">
        <f>IF( ISERROR(IND_min_gas_kWh/1000),0,IND_min_gas_kWh/1000)*0.903</f>
        <v>0</v>
      </c>
      <c r="E12" s="33">
        <f>C34*'E Balans VL '!I22/100/3.6*1000000</f>
        <v>1.7786262816287277</v>
      </c>
      <c r="F12" s="33">
        <f>C34*'E Balans VL '!L22/100/3.6*1000000+C34*'E Balans VL '!N22/100/3.6*1000000</f>
        <v>15.693528417098817</v>
      </c>
      <c r="G12" s="34"/>
      <c r="H12" s="33"/>
      <c r="I12" s="33"/>
      <c r="J12" s="40">
        <f>C34*'E Balans VL '!D22/100/3.6*1000000+C34*'E Balans VL '!E22/100/3.6*1000000</f>
        <v>0</v>
      </c>
      <c r="K12" s="33"/>
      <c r="L12" s="33"/>
      <c r="M12" s="33"/>
      <c r="N12" s="33">
        <f>C34*'E Balans VL '!Y22/100/3.6*1000000</f>
        <v>70.111992680696517</v>
      </c>
      <c r="O12" s="33"/>
      <c r="P12" s="33"/>
      <c r="R12" s="32"/>
    </row>
    <row r="13" spans="1:18">
      <c r="A13" s="6" t="s">
        <v>38</v>
      </c>
      <c r="B13" s="37">
        <f t="shared" si="0"/>
        <v>2346.0109659374302</v>
      </c>
      <c r="C13" s="33"/>
      <c r="D13" s="37">
        <f>IF( ISERROR(IND_papier_gas_kWh/1000),0,IND_papier_gas_kWh/1000)*0.903</f>
        <v>669.46820347027881</v>
      </c>
      <c r="E13" s="33">
        <f>C35*'E Balans VL '!I23/100/3.6*1000000</f>
        <v>0</v>
      </c>
      <c r="F13" s="33">
        <f>C35*'E Balans VL '!L23/100/3.6*1000000+C35*'E Balans VL '!N23/100/3.6*1000000</f>
        <v>0.10164010371355199</v>
      </c>
      <c r="G13" s="34"/>
      <c r="H13" s="33"/>
      <c r="I13" s="33"/>
      <c r="J13" s="40">
        <f>C35*'E Balans VL '!D23/100/3.6*1000000+C35*'E Balans VL '!E23/100/3.6*1000000</f>
        <v>6.4643790852635635E-2</v>
      </c>
      <c r="K13" s="33"/>
      <c r="L13" s="33"/>
      <c r="M13" s="33"/>
      <c r="N13" s="33">
        <f>C35*'E Balans VL '!Y23/100/3.6*1000000</f>
        <v>0</v>
      </c>
      <c r="O13" s="33"/>
      <c r="P13" s="33"/>
      <c r="R13" s="32"/>
    </row>
    <row r="14" spans="1:18">
      <c r="A14" s="6" t="s">
        <v>33</v>
      </c>
      <c r="B14" s="37">
        <f t="shared" si="0"/>
        <v>1482.31576676637</v>
      </c>
      <c r="C14" s="33"/>
      <c r="D14" s="37">
        <f>IF( ISERROR(IND_chemie_gas_kWh/1000),0,IND_chemie_gas_kWh/1000)*0.903</f>
        <v>0</v>
      </c>
      <c r="E14" s="33">
        <f>C36*'E Balans VL '!I24/100/3.6*1000000</f>
        <v>86.690577262929651</v>
      </c>
      <c r="F14" s="33">
        <f>C36*'E Balans VL '!L24/100/3.6*1000000+C36*'E Balans VL '!N24/100/3.6*1000000</f>
        <v>10.484381119324938</v>
      </c>
      <c r="G14" s="34"/>
      <c r="H14" s="33"/>
      <c r="I14" s="33"/>
      <c r="J14" s="40">
        <f>C36*'E Balans VL '!D24/100/3.6*1000000+C36*'E Balans VL '!E24/100/3.6*1000000</f>
        <v>0</v>
      </c>
      <c r="K14" s="33"/>
      <c r="L14" s="33"/>
      <c r="M14" s="33"/>
      <c r="N14" s="33">
        <f>C36*'E Balans VL '!Y24/100/3.6*1000000</f>
        <v>9.990235328788169E-2</v>
      </c>
      <c r="O14" s="33"/>
      <c r="P14" s="33"/>
      <c r="R14" s="32"/>
    </row>
    <row r="15" spans="1:18">
      <c r="A15" s="6" t="s">
        <v>265</v>
      </c>
      <c r="B15" s="37">
        <f t="shared" si="0"/>
        <v>0</v>
      </c>
      <c r="C15" s="33"/>
      <c r="D15" s="37">
        <f>IF( ISERROR(IND_rest_gas_kWh/1000),0,IND_rest_gas_kWh/1000)*0.903</f>
        <v>36.868852369533791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energieproductie'!N40+'lokale energieproductie'!N33</f>
        <v>630.00000000000011</v>
      </c>
      <c r="C16" s="243">
        <f>'lokale energieproductie'!O40+'lokale energieproductie'!O33</f>
        <v>900.00000000000023</v>
      </c>
      <c r="D16" s="304">
        <f>('lokale energieproductie'!P33+'lokale energieproductie'!P40)*(-1)</f>
        <v>-1800.0000000000005</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104768.51048932709</v>
      </c>
      <c r="C18" s="21">
        <f>C5+C16</f>
        <v>900.00000000000023</v>
      </c>
      <c r="D18" s="21">
        <f>MAX((D5+D16),0)</f>
        <v>44808.986666153185</v>
      </c>
      <c r="E18" s="21">
        <f>MAX((E5+E16),0)</f>
        <v>389.38839515943914</v>
      </c>
      <c r="F18" s="21">
        <f>MAX((F5+F16),0)</f>
        <v>12696.185210193378</v>
      </c>
      <c r="G18" s="21"/>
      <c r="H18" s="21"/>
      <c r="I18" s="21"/>
      <c r="J18" s="21">
        <f>MAX((J5+J16),0)</f>
        <v>30.263519003758127</v>
      </c>
      <c r="K18" s="21"/>
      <c r="L18" s="21">
        <f>MAX((L5+L16),0)</f>
        <v>0</v>
      </c>
      <c r="M18" s="21"/>
      <c r="N18" s="21">
        <f>MAX((N5+N16),0)</f>
        <v>2763.9909011126811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0.21055304662917143</v>
      </c>
      <c r="C20" s="25">
        <f ca="1">'EF ele_warmte'!B22</f>
        <v>0.23764447656381077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22059.329074328121</v>
      </c>
      <c r="C22" s="23">
        <f ca="1">C18*C20</f>
        <v>213.88002890742973</v>
      </c>
      <c r="D22" s="23">
        <f>D18*D20</f>
        <v>9051.4153065629434</v>
      </c>
      <c r="E22" s="23">
        <f>E18*E20</f>
        <v>88.391165701192691</v>
      </c>
      <c r="F22" s="23">
        <f>F18*F20</f>
        <v>3389.8814511216324</v>
      </c>
      <c r="G22" s="23"/>
      <c r="H22" s="23"/>
      <c r="I22" s="23"/>
      <c r="J22" s="23">
        <f>J18*J20</f>
        <v>10.713285727330376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34062.007542280597</v>
      </c>
      <c r="C30" s="39">
        <f>IF(ISERROR(B30*3.6/1000000/'E Balans VL '!Z18*100),0,B30*3.6/1000000/'E Balans VL '!Z18*100)</f>
        <v>1.6907612871922151</v>
      </c>
      <c r="D30" s="233" t="s">
        <v>691</v>
      </c>
    </row>
    <row r="31" spans="1:18">
      <c r="A31" s="6" t="s">
        <v>32</v>
      </c>
      <c r="B31" s="37">
        <f>IF( ISERROR(IND_ander_ele_kWh/1000),0,IND_ander_ele_kWh/1000)</f>
        <v>15560.903508318501</v>
      </c>
      <c r="C31" s="39">
        <f>IF(ISERROR(B31*3.6/1000000/'E Balans VL '!Z19*100),0,B31*3.6/1000000/'E Balans VL '!Z19*100)</f>
        <v>0.52510075440232029</v>
      </c>
      <c r="D31" s="233" t="s">
        <v>691</v>
      </c>
    </row>
    <row r="32" spans="1:18">
      <c r="A32" s="168" t="s">
        <v>40</v>
      </c>
      <c r="B32" s="37">
        <f>IF( ISERROR(IND_voed_ele_kWh/1000),0,IND_voed_ele_kWh/1000)</f>
        <v>50239.474813847999</v>
      </c>
      <c r="C32" s="39">
        <f>IF(ISERROR(B32*3.6/1000000/'E Balans VL '!Z20*100),0,B32*3.6/1000000/'E Balans VL '!Z20*100)</f>
        <v>1.1798395555175587</v>
      </c>
      <c r="D32" s="233" t="s">
        <v>691</v>
      </c>
    </row>
    <row r="33" spans="1:5">
      <c r="A33" s="168" t="s">
        <v>39</v>
      </c>
      <c r="B33" s="37">
        <f>IF( ISERROR(IND_textiel_ele_kWh/1000),0,IND_textiel_ele_kWh/1000)</f>
        <v>36.770625728335396</v>
      </c>
      <c r="C33" s="39">
        <f>IF(ISERROR(B33*3.6/1000000/'E Balans VL '!Z21*100),0,B33*3.6/1000000/'E Balans VL '!Z21*100)</f>
        <v>4.0355295647604636E-3</v>
      </c>
      <c r="D33" s="233" t="s">
        <v>691</v>
      </c>
    </row>
    <row r="34" spans="1:5">
      <c r="A34" s="168" t="s">
        <v>36</v>
      </c>
      <c r="B34" s="37">
        <f>IF( ISERROR(IND_min_ele_kWh/1000),0,IND_min_ele_kWh/1000)</f>
        <v>411.027266447844</v>
      </c>
      <c r="C34" s="39">
        <f>IF(ISERROR(B34*3.6/1000000/'E Balans VL '!Z22*100),0,B34*3.6/1000000/'E Balans VL '!Z22*100)</f>
        <v>5.831275007526425E-2</v>
      </c>
      <c r="D34" s="233" t="s">
        <v>691</v>
      </c>
    </row>
    <row r="35" spans="1:5">
      <c r="A35" s="168" t="s">
        <v>38</v>
      </c>
      <c r="B35" s="37">
        <f>IF( ISERROR(IND_papier_ele_kWh/1000),0,IND_papier_ele_kWh/1000)</f>
        <v>2346.0109659374302</v>
      </c>
      <c r="C35" s="39">
        <f>IF(ISERROR(B35*3.6/1000000/'E Balans VL '!Z22*100),0,B35*3.6/1000000/'E Balans VL '!Z22*100)</f>
        <v>0.33283035530173943</v>
      </c>
      <c r="D35" s="233" t="s">
        <v>691</v>
      </c>
    </row>
    <row r="36" spans="1:5">
      <c r="A36" s="168" t="s">
        <v>33</v>
      </c>
      <c r="B36" s="37">
        <f>IF( ISERROR(IND_chemie_ele_kWh/1000),0,IND_chemie_ele_kWh/1000)</f>
        <v>1482.31576676637</v>
      </c>
      <c r="C36" s="39">
        <f>IF(ISERROR(B36*3.6/1000000/'E Balans VL '!Z24*100),0,B36*3.6/1000000/'E Balans VL '!Z24*100)</f>
        <v>1.3535885277996665E-2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1508.5695149232101</v>
      </c>
      <c r="C5" s="17">
        <f>'Eigen informatie GS &amp; warmtenet'!B62</f>
        <v>0</v>
      </c>
      <c r="D5" s="30">
        <f>IF(ISERROR(SUM(LB_lb_gas_kWh,LB_rest_gas_kWh)/1000),0,SUM(LB_lb_gas_kWh,LB_rest_gas_kWh)/1000)*0.903</f>
        <v>60943.596035236304</v>
      </c>
      <c r="E5" s="17">
        <f>B17*'E Balans VL '!I25/3.6*1000000/100</f>
        <v>56.259171596461904</v>
      </c>
      <c r="F5" s="17">
        <f>B17*('E Balans VL '!L25/3.6*1000000+'E Balans VL '!N25/3.6*1000000)/100</f>
        <v>4894.3824406175354</v>
      </c>
      <c r="G5" s="18"/>
      <c r="H5" s="17"/>
      <c r="I5" s="17"/>
      <c r="J5" s="17">
        <f>('E Balans VL '!D25+'E Balans VL '!E25)/3.6*1000000*landbouw!B17/100</f>
        <v>396.00694533494237</v>
      </c>
      <c r="K5" s="17"/>
      <c r="L5" s="17">
        <f>L6*(-1)</f>
        <v>0</v>
      </c>
      <c r="M5" s="17"/>
      <c r="N5" s="17">
        <f>N6*(-1)</f>
        <v>0</v>
      </c>
      <c r="O5" s="17"/>
      <c r="P5" s="17"/>
      <c r="R5" s="32"/>
    </row>
    <row r="6" spans="1:18">
      <c r="A6" s="16" t="s">
        <v>473</v>
      </c>
      <c r="B6" s="17" t="s">
        <v>210</v>
      </c>
      <c r="C6" s="17">
        <f>'lokale energieproductie'!O42+'lokale energieproductie'!O35</f>
        <v>61270.71428571429</v>
      </c>
      <c r="D6" s="304">
        <f>('lokale energieproductie'!P35+'lokale energieproductie'!P42)*(-1)</f>
        <v>-122541.42857142858</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1508.5695149232101</v>
      </c>
      <c r="C8" s="21">
        <f>C5+C6</f>
        <v>61270.71428571429</v>
      </c>
      <c r="D8" s="21">
        <f>MAX((D5+D6),0)</f>
        <v>0</v>
      </c>
      <c r="E8" s="21">
        <f>MAX((E5+E6),0)</f>
        <v>56.259171596461904</v>
      </c>
      <c r="F8" s="21">
        <f>MAX((F5+F6),0)</f>
        <v>4894.3824406175354</v>
      </c>
      <c r="G8" s="21"/>
      <c r="H8" s="21"/>
      <c r="I8" s="21"/>
      <c r="J8" s="21">
        <f>MAX((J5+J6),0)</f>
        <v>396.00694533494237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0.21055304662917143</v>
      </c>
      <c r="C10" s="31">
        <f ca="1">'EF ele_warmte'!B22</f>
        <v>0.23764447656381077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317.63390741897319</v>
      </c>
      <c r="C12" s="23">
        <f ca="1">C8*C10</f>
        <v>14560.646825119375</v>
      </c>
      <c r="D12" s="23">
        <f>D8*D10</f>
        <v>0</v>
      </c>
      <c r="E12" s="23">
        <f>E8*E10</f>
        <v>12.770831952396852</v>
      </c>
      <c r="F12" s="23">
        <f>F8*F10</f>
        <v>1306.800111644882</v>
      </c>
      <c r="G12" s="23"/>
      <c r="H12" s="23"/>
      <c r="I12" s="23"/>
      <c r="J12" s="23">
        <f>J8*J10</f>
        <v>140.18645864856958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0.20719808623486527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159.38586227109772</v>
      </c>
      <c r="C26" s="243">
        <f>B26*'GWP N2O_CH4'!B5</f>
        <v>3347.1031076930522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66.880539841144127</v>
      </c>
      <c r="C27" s="243">
        <f>B27*'GWP N2O_CH4'!B5</f>
        <v>1404.4913366640267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3.8730860268308214</v>
      </c>
      <c r="C28" s="243">
        <f>B28*'GWP N2O_CH4'!B4</f>
        <v>1200.6566683175547</v>
      </c>
      <c r="D28" s="50"/>
    </row>
    <row r="29" spans="1:4">
      <c r="A29" s="41" t="s">
        <v>272</v>
      </c>
      <c r="B29" s="243">
        <f>B34*'ha_N2O bodem landbouw'!B4</f>
        <v>10.219023414236272</v>
      </c>
      <c r="C29" s="243">
        <f>B29*'GWP N2O_CH4'!B4</f>
        <v>3167.8972584132443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2.3289446197128755E-3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1.3787304838136969E-3</v>
      </c>
      <c r="C5" s="434" t="s">
        <v>210</v>
      </c>
      <c r="D5" s="419">
        <f>SUM(D6:D11)</f>
        <v>2.3010754868656872E-3</v>
      </c>
      <c r="E5" s="419">
        <f>SUM(E6:E11)</f>
        <v>1.3675395911432618E-3</v>
      </c>
      <c r="F5" s="432" t="s">
        <v>210</v>
      </c>
      <c r="G5" s="419">
        <f>SUM(G6:G11)</f>
        <v>0.62363556932315334</v>
      </c>
      <c r="H5" s="419">
        <f>SUM(H6:H11)</f>
        <v>0.14223787000310928</v>
      </c>
      <c r="I5" s="434" t="s">
        <v>210</v>
      </c>
      <c r="J5" s="434" t="s">
        <v>210</v>
      </c>
      <c r="K5" s="434" t="s">
        <v>210</v>
      </c>
      <c r="L5" s="434" t="s">
        <v>210</v>
      </c>
      <c r="M5" s="419">
        <f>SUM(M6:M11)</f>
        <v>4.4999397134182786E-2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5.8369168705649005E-4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1.014272628616339E-3</v>
      </c>
      <c r="E6" s="885">
        <f>vkm_GW_PW*SUMIFS(TableVerdeelsleutelVkm[LPG],TableVerdeelsleutelVkm[Voertuigtype],"Lichte voertuigen")*SUMIFS(TableECFTransport[EnergieConsumptieFactor (PJ per km)],TableECFTransport[Index],CONCATENATE($A6,"_LPG_LPG"))</f>
        <v>5.6400174564040029E-4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0.16948788706141388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6.1795850225680092E-2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1.3838277672920039E-2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1.8317399375884267E-6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7.5811132643694629E-2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7.7123929146392432E-7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4.2682836461022363E-3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2.0948417218895083E-4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4.6738896637193788E-4</v>
      </c>
      <c r="E8" s="422">
        <f>vkm_NGW_PW*SUMIFS(TableVerdeelsleutelVkm[LPG],TableVerdeelsleutelVkm[Voertuigtype],"Lichte voertuigen")*SUMIFS(TableECFTransport[EnergieConsumptieFactor (PJ per km)],TableECFTransport[Index],CONCATENATE($A8,"_LPG_LPG"))</f>
        <v>2.4893039502193987E-4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6.8843925851091906E-2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2.8127591914954331E-2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5.8313645644789899E-3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3.5442049982367419E-7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1.8889710789711214E-2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1.8011945011355654E-7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1.0635190021753874E-3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5.7981122740836466E-4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8.1941389187741042E-4</v>
      </c>
      <c r="E10" s="422">
        <f>vkm_SW_PW*SUMIFS(TableVerdeelsleutelVkm[LPG],TableVerdeelsleutelVkm[Voertuigtype],"Lichte voertuigen")*SUMIFS(TableECFTransport[EnergieConsumptieFactor (PJ per km)],TableECFTransport[Index],CONCATENATE($A10,"_LPG_LPG"))</f>
        <v>5.5460745048092159E-4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0.15151623861148045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5.2311934914960043E-2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1.2167149247718313E-2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3.5572367224791386E-6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0.13908667436576128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1.5415887732519485E-6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7.830803000787822E-3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382.98068994824916</v>
      </c>
      <c r="C14" s="21"/>
      <c r="D14" s="21">
        <f t="shared" ref="D14:M14" si="0">((D5)*10^9/3600)+D12</f>
        <v>639.18763524046869</v>
      </c>
      <c r="E14" s="21">
        <f t="shared" si="0"/>
        <v>379.87210865090606</v>
      </c>
      <c r="F14" s="21"/>
      <c r="G14" s="21">
        <f t="shared" si="0"/>
        <v>173232.10258976484</v>
      </c>
      <c r="H14" s="21">
        <f t="shared" si="0"/>
        <v>39510.519445308135</v>
      </c>
      <c r="I14" s="21"/>
      <c r="J14" s="21"/>
      <c r="K14" s="21"/>
      <c r="L14" s="21"/>
      <c r="M14" s="21">
        <f t="shared" si="0"/>
        <v>12499.832537272996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0.21055304662917143</v>
      </c>
      <c r="C16" s="56">
        <f ca="1">'EF ele_warmte'!B22</f>
        <v>0.23764447656381077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80.637751068745956</v>
      </c>
      <c r="C18" s="23"/>
      <c r="D18" s="23">
        <f t="shared" ref="D18:M18" si="1">D14*D16</f>
        <v>129.11590231857468</v>
      </c>
      <c r="E18" s="23">
        <f t="shared" si="1"/>
        <v>86.230968663755675</v>
      </c>
      <c r="F18" s="23"/>
      <c r="G18" s="23">
        <f t="shared" si="1"/>
        <v>46252.97139146721</v>
      </c>
      <c r="H18" s="23">
        <f t="shared" si="1"/>
        <v>9838.1193418817256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1.0435652071798325E-4</v>
      </c>
      <c r="C50" s="315">
        <f t="shared" ref="C50:P50" si="2">SUM(C51:C52)</f>
        <v>0</v>
      </c>
      <c r="D50" s="315">
        <f t="shared" si="2"/>
        <v>0</v>
      </c>
      <c r="E50" s="315">
        <f t="shared" si="2"/>
        <v>0</v>
      </c>
      <c r="F50" s="315">
        <f t="shared" si="2"/>
        <v>0</v>
      </c>
      <c r="G50" s="315">
        <f t="shared" si="2"/>
        <v>7.4487803188966551E-3</v>
      </c>
      <c r="H50" s="315">
        <f t="shared" si="2"/>
        <v>0</v>
      </c>
      <c r="I50" s="315">
        <f t="shared" si="2"/>
        <v>0</v>
      </c>
      <c r="J50" s="315">
        <f t="shared" si="2"/>
        <v>0</v>
      </c>
      <c r="K50" s="315">
        <f t="shared" si="2"/>
        <v>0</v>
      </c>
      <c r="L50" s="315">
        <f t="shared" si="2"/>
        <v>0</v>
      </c>
      <c r="M50" s="315">
        <f t="shared" si="2"/>
        <v>4.1131117508860733E-4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1.0435652071798325E-4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7.4487803188966551E-3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4.1131117508860733E-4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28.987922421662013</v>
      </c>
      <c r="C54" s="21">
        <f t="shared" ref="C54:P54" si="3">(C50)*10^9/3600</f>
        <v>0</v>
      </c>
      <c r="D54" s="21">
        <f t="shared" si="3"/>
        <v>0</v>
      </c>
      <c r="E54" s="21">
        <f t="shared" si="3"/>
        <v>0</v>
      </c>
      <c r="F54" s="21">
        <f t="shared" si="3"/>
        <v>0</v>
      </c>
      <c r="G54" s="21">
        <f t="shared" si="3"/>
        <v>2069.1056441379596</v>
      </c>
      <c r="H54" s="21">
        <f t="shared" si="3"/>
        <v>0</v>
      </c>
      <c r="I54" s="21">
        <f t="shared" si="3"/>
        <v>0</v>
      </c>
      <c r="J54" s="21">
        <f t="shared" si="3"/>
        <v>0</v>
      </c>
      <c r="K54" s="21">
        <f t="shared" si="3"/>
        <v>0</v>
      </c>
      <c r="L54" s="21">
        <f t="shared" si="3"/>
        <v>0</v>
      </c>
      <c r="M54" s="21">
        <f t="shared" si="3"/>
        <v>114.25310419127982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0.21055304662917143</v>
      </c>
      <c r="C56" s="56">
        <f ca="1">'EF ele_warmte'!B22</f>
        <v>0.23764447656381077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6.1034953813310056</v>
      </c>
      <c r="C58" s="23">
        <f t="shared" ref="C58:P58" ca="1" si="4">C54*C56</f>
        <v>0</v>
      </c>
      <c r="D58" s="23">
        <f t="shared" si="4"/>
        <v>0</v>
      </c>
      <c r="E58" s="23">
        <f t="shared" si="4"/>
        <v>0</v>
      </c>
      <c r="F58" s="23">
        <f t="shared" si="4"/>
        <v>0</v>
      </c>
      <c r="G58" s="23">
        <f t="shared" si="4"/>
        <v>552.45120698483527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13157.935484087939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43528</v>
      </c>
      <c r="C8" s="544">
        <f>B51</f>
        <v>51208.855326086908</v>
      </c>
      <c r="D8" s="545"/>
      <c r="E8" s="545">
        <f>E51</f>
        <v>0</v>
      </c>
      <c r="F8" s="546"/>
      <c r="G8" s="547"/>
      <c r="H8" s="545">
        <f>I51</f>
        <v>0</v>
      </c>
      <c r="I8" s="545">
        <f>G51+F51</f>
        <v>0</v>
      </c>
      <c r="J8" s="545">
        <f>H51+D51+C51</f>
        <v>0</v>
      </c>
      <c r="K8" s="545"/>
      <c r="L8" s="545"/>
      <c r="M8" s="545"/>
      <c r="N8" s="548"/>
      <c r="O8" s="549">
        <f>C8*$C$12+D8*$D$12+E8*$E$12+F8*$F$12+G8*$G$12+H8*$H$12+I8*$I$12+J8*$J$12</f>
        <v>10344.188775869556</v>
      </c>
      <c r="P8" s="1253"/>
      <c r="Q8" s="1254"/>
      <c r="S8" s="539"/>
      <c r="T8" s="1241"/>
      <c r="U8" s="1241"/>
    </row>
    <row r="9" spans="1:21" s="530" customFormat="1" ht="17.45" customHeight="1" thickBot="1">
      <c r="A9" s="550" t="s">
        <v>243</v>
      </c>
      <c r="B9" s="551">
        <f>N39+'Eigen informatie GS &amp; warmtenet'!B12</f>
        <v>900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57585.935484087939</v>
      </c>
      <c r="C10" s="559">
        <f t="shared" ref="C10:L10" si="0">SUM(C8:C9)</f>
        <v>51208.855326086908</v>
      </c>
      <c r="D10" s="559">
        <f t="shared" si="0"/>
        <v>0</v>
      </c>
      <c r="E10" s="559">
        <f t="shared" si="0"/>
        <v>0</v>
      </c>
      <c r="F10" s="559">
        <f t="shared" si="0"/>
        <v>0</v>
      </c>
      <c r="G10" s="559">
        <f t="shared" si="0"/>
        <v>0</v>
      </c>
      <c r="H10" s="559">
        <f t="shared" si="0"/>
        <v>0</v>
      </c>
      <c r="I10" s="559">
        <f t="shared" si="0"/>
        <v>0</v>
      </c>
      <c r="J10" s="559">
        <f t="shared" si="0"/>
        <v>2571.4285714285716</v>
      </c>
      <c r="K10" s="559">
        <f t="shared" si="0"/>
        <v>0</v>
      </c>
      <c r="L10" s="559">
        <f t="shared" si="0"/>
        <v>0</v>
      </c>
      <c r="M10" s="960"/>
      <c r="N10" s="960"/>
      <c r="O10" s="560">
        <f>SUM(O4:O9)</f>
        <v>10344.188775869556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62182.889961389956</v>
      </c>
      <c r="C17" s="575">
        <f>B52</f>
        <v>73155.546218314659</v>
      </c>
      <c r="D17" s="576"/>
      <c r="E17" s="576">
        <f>E52</f>
        <v>0</v>
      </c>
      <c r="F17" s="577"/>
      <c r="G17" s="578"/>
      <c r="H17" s="575">
        <f>I52</f>
        <v>0</v>
      </c>
      <c r="I17" s="576">
        <f>G52+F52</f>
        <v>0</v>
      </c>
      <c r="J17" s="576">
        <f>H52+D52+C52</f>
        <v>0</v>
      </c>
      <c r="K17" s="576"/>
      <c r="L17" s="576"/>
      <c r="M17" s="576"/>
      <c r="N17" s="961"/>
      <c r="O17" s="579">
        <f>C17*$C$22+E17*$E$22+H17*$H$22+I17*$I$22+J17*$J$22+D17*$D$22+F17*$F$22+G17*$G$22+K17*$K$22+L17*$L$22</f>
        <v>14777.420336099562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62182.889961389956</v>
      </c>
      <c r="C20" s="558">
        <f>SUM(C17:C19)</f>
        <v>73155.546218314659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14777.420336099562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13011</v>
      </c>
      <c r="C28" s="786">
        <v>2200</v>
      </c>
      <c r="D28" s="636" t="s">
        <v>883</v>
      </c>
      <c r="E28" s="635" t="s">
        <v>884</v>
      </c>
      <c r="F28" s="635" t="s">
        <v>885</v>
      </c>
      <c r="G28" s="635" t="s">
        <v>886</v>
      </c>
      <c r="H28" s="635" t="s">
        <v>887</v>
      </c>
      <c r="I28" s="635" t="s">
        <v>884</v>
      </c>
      <c r="J28" s="785">
        <v>41323</v>
      </c>
      <c r="K28" s="785">
        <v>39511</v>
      </c>
      <c r="L28" s="635" t="s">
        <v>888</v>
      </c>
      <c r="M28" s="635">
        <v>5041</v>
      </c>
      <c r="N28" s="635">
        <v>22684.5</v>
      </c>
      <c r="O28" s="635">
        <v>32406.428571428572</v>
      </c>
      <c r="P28" s="635">
        <v>64812.857142857145</v>
      </c>
      <c r="Q28" s="635">
        <v>0</v>
      </c>
      <c r="R28" s="635">
        <v>0</v>
      </c>
      <c r="S28" s="635">
        <v>0</v>
      </c>
      <c r="T28" s="635">
        <v>0</v>
      </c>
      <c r="U28" s="635">
        <v>0</v>
      </c>
      <c r="V28" s="635">
        <v>0</v>
      </c>
      <c r="W28" s="635">
        <v>0</v>
      </c>
      <c r="X28" s="635">
        <v>10</v>
      </c>
      <c r="Y28" s="635" t="s">
        <v>111</v>
      </c>
      <c r="Z28" s="637" t="s">
        <v>111</v>
      </c>
    </row>
    <row r="29" spans="1:26" s="589" customFormat="1" ht="38.25">
      <c r="A29" s="588"/>
      <c r="B29" s="786">
        <v>13011</v>
      </c>
      <c r="C29" s="786">
        <v>2200</v>
      </c>
      <c r="D29" s="636" t="s">
        <v>889</v>
      </c>
      <c r="E29" s="635" t="s">
        <v>890</v>
      </c>
      <c r="F29" s="635" t="s">
        <v>891</v>
      </c>
      <c r="G29" s="635" t="s">
        <v>886</v>
      </c>
      <c r="H29" s="635" t="s">
        <v>887</v>
      </c>
      <c r="I29" s="635" t="s">
        <v>890</v>
      </c>
      <c r="J29" s="785">
        <v>41326</v>
      </c>
      <c r="K29" s="785">
        <v>41395</v>
      </c>
      <c r="L29" s="635" t="s">
        <v>888</v>
      </c>
      <c r="M29" s="635">
        <v>140</v>
      </c>
      <c r="N29" s="635">
        <v>630.00000000000011</v>
      </c>
      <c r="O29" s="635">
        <v>900.00000000000023</v>
      </c>
      <c r="P29" s="635">
        <v>1800.0000000000005</v>
      </c>
      <c r="Q29" s="635">
        <v>0</v>
      </c>
      <c r="R29" s="635">
        <v>0</v>
      </c>
      <c r="S29" s="635">
        <v>0</v>
      </c>
      <c r="T29" s="635">
        <v>0</v>
      </c>
      <c r="U29" s="635">
        <v>0</v>
      </c>
      <c r="V29" s="635">
        <v>0</v>
      </c>
      <c r="W29" s="635">
        <v>0</v>
      </c>
      <c r="X29" s="635">
        <v>800</v>
      </c>
      <c r="Y29" s="635" t="s">
        <v>35</v>
      </c>
      <c r="Z29" s="637" t="s">
        <v>379</v>
      </c>
    </row>
    <row r="30" spans="1:26" s="589" customFormat="1" ht="12.75">
      <c r="A30" s="588"/>
      <c r="B30" s="786">
        <v>13011</v>
      </c>
      <c r="C30" s="786">
        <v>2200</v>
      </c>
      <c r="D30" s="636" t="s">
        <v>892</v>
      </c>
      <c r="E30" s="635"/>
      <c r="F30" s="635" t="s">
        <v>893</v>
      </c>
      <c r="G30" s="635" t="s">
        <v>894</v>
      </c>
      <c r="H30" s="635" t="s">
        <v>894</v>
      </c>
      <c r="I30" s="635" t="s">
        <v>895</v>
      </c>
      <c r="J30" s="785">
        <v>43021</v>
      </c>
      <c r="K30" s="785">
        <v>43021</v>
      </c>
      <c r="L30" s="635" t="s">
        <v>896</v>
      </c>
      <c r="M30" s="635">
        <v>1.7</v>
      </c>
      <c r="N30" s="635">
        <v>8.5</v>
      </c>
      <c r="O30" s="635">
        <v>12.175675675675675</v>
      </c>
      <c r="P30" s="635">
        <v>22.972972972972972</v>
      </c>
      <c r="Q30" s="635">
        <v>0</v>
      </c>
      <c r="R30" s="635">
        <v>0</v>
      </c>
      <c r="S30" s="635">
        <v>0</v>
      </c>
      <c r="T30" s="635">
        <v>0</v>
      </c>
      <c r="U30" s="635">
        <v>0</v>
      </c>
      <c r="V30" s="635">
        <v>0</v>
      </c>
      <c r="W30" s="635">
        <v>0</v>
      </c>
      <c r="X30" s="635">
        <v>1200</v>
      </c>
      <c r="Y30" s="635" t="s">
        <v>52</v>
      </c>
      <c r="Z30" s="637" t="s">
        <v>155</v>
      </c>
    </row>
    <row r="31" spans="1:26" s="589" customFormat="1" ht="25.5">
      <c r="A31" s="588"/>
      <c r="B31" s="786">
        <v>13011</v>
      </c>
      <c r="C31" s="786">
        <v>2200</v>
      </c>
      <c r="D31" s="636" t="s">
        <v>897</v>
      </c>
      <c r="E31" s="635" t="s">
        <v>898</v>
      </c>
      <c r="F31" s="635" t="s">
        <v>899</v>
      </c>
      <c r="G31" s="635" t="s">
        <v>900</v>
      </c>
      <c r="H31" s="635" t="s">
        <v>887</v>
      </c>
      <c r="I31" s="635" t="s">
        <v>901</v>
      </c>
      <c r="J31" s="785">
        <v>43433</v>
      </c>
      <c r="K31" s="785">
        <v>43433</v>
      </c>
      <c r="L31" s="635" t="s">
        <v>896</v>
      </c>
      <c r="M31" s="635">
        <v>4490</v>
      </c>
      <c r="N31" s="635">
        <v>20205</v>
      </c>
      <c r="O31" s="635">
        <v>28864.285714285714</v>
      </c>
      <c r="P31" s="635">
        <v>57728.571428571435</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9672.7000000000007</v>
      </c>
      <c r="N32" s="593">
        <f>SUM(N28:N31)</f>
        <v>43528</v>
      </c>
      <c r="O32" s="593">
        <f>SUM(O28:O31)</f>
        <v>62182.889961389956</v>
      </c>
      <c r="P32" s="593">
        <f>SUM(P28:P31)</f>
        <v>124364.40154440155</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140</v>
      </c>
      <c r="N33" s="593">
        <f>SUMIF($Z$28:$Z$31,"industrie",N28:N31)</f>
        <v>630.00000000000011</v>
      </c>
      <c r="O33" s="593">
        <f>SUMIF($Z$28:$Z$31,"industrie",O28:O31)</f>
        <v>900.00000000000023</v>
      </c>
      <c r="P33" s="593">
        <f>SUMIF($Z$28:$Z$31,"industrie",P28:P31)</f>
        <v>1800.0000000000005</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1.7</v>
      </c>
      <c r="N34" s="593">
        <f ca="1">SUMIF($Z$28:AD31,"tertiair",N28:N31)</f>
        <v>8.5</v>
      </c>
      <c r="O34" s="593">
        <f ca="1">SUMIF($Z$28:AE31,"tertiair",O28:O31)</f>
        <v>12.175675675675675</v>
      </c>
      <c r="P34" s="593">
        <f ca="1">SUMIF($Z$28:AF31,"tertiair",P28:P31)</f>
        <v>22.972972972972972</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9531</v>
      </c>
      <c r="N35" s="598">
        <f>SUMIF($Z$28:$Z$31,"landbouw",N28:N31)</f>
        <v>42889.5</v>
      </c>
      <c r="O35" s="598">
        <f>SUMIF($Z$28:$Z$31,"landbouw",O28:O31)</f>
        <v>61270.71428571429</v>
      </c>
      <c r="P35" s="598">
        <f>SUMIF($Z$28:$Z$31,"landbouw",P28:P31)</f>
        <v>122541.42857142858</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63.75">
      <c r="A38" s="590"/>
      <c r="B38" s="786">
        <v>13011</v>
      </c>
      <c r="C38" s="786">
        <v>2200</v>
      </c>
      <c r="D38" s="638" t="s">
        <v>902</v>
      </c>
      <c r="E38" s="638" t="s">
        <v>903</v>
      </c>
      <c r="F38" s="638" t="s">
        <v>904</v>
      </c>
      <c r="G38" s="638" t="s">
        <v>905</v>
      </c>
      <c r="H38" s="638" t="s">
        <v>906</v>
      </c>
      <c r="I38" s="638" t="s">
        <v>907</v>
      </c>
      <c r="J38" s="785">
        <v>39217</v>
      </c>
      <c r="K38" s="785">
        <v>39227</v>
      </c>
      <c r="L38" s="638" t="s">
        <v>908</v>
      </c>
      <c r="M38" s="638">
        <v>200</v>
      </c>
      <c r="N38" s="638">
        <v>900</v>
      </c>
      <c r="O38" s="638">
        <v>0</v>
      </c>
      <c r="P38" s="638">
        <v>0</v>
      </c>
      <c r="Q38" s="638">
        <v>2571.4285714285716</v>
      </c>
      <c r="R38" s="638">
        <v>0</v>
      </c>
      <c r="S38" s="638">
        <v>0</v>
      </c>
      <c r="T38" s="638">
        <v>0</v>
      </c>
      <c r="U38" s="638">
        <v>0</v>
      </c>
      <c r="V38" s="638">
        <v>0</v>
      </c>
      <c r="W38" s="638">
        <v>0</v>
      </c>
      <c r="X38" s="638">
        <v>1600</v>
      </c>
      <c r="Y38" s="638" t="s">
        <v>49</v>
      </c>
      <c r="Z38" s="639" t="s">
        <v>155</v>
      </c>
    </row>
    <row r="39" spans="1:27" s="569" customFormat="1">
      <c r="A39" s="591" t="s">
        <v>275</v>
      </c>
      <c r="B39" s="592"/>
      <c r="C39" s="592"/>
      <c r="D39" s="592"/>
      <c r="E39" s="592"/>
      <c r="F39" s="592"/>
      <c r="G39" s="592"/>
      <c r="H39" s="592"/>
      <c r="I39" s="592"/>
      <c r="J39" s="592"/>
      <c r="K39" s="592"/>
      <c r="L39" s="593"/>
      <c r="M39" s="593">
        <f>SUM(M38:M38)</f>
        <v>200</v>
      </c>
      <c r="N39" s="593">
        <f>SUM(N38:N38)</f>
        <v>900</v>
      </c>
      <c r="O39" s="593">
        <f>SUM(O38:O38)</f>
        <v>0</v>
      </c>
      <c r="P39" s="593">
        <f>SUM(P38:P38)</f>
        <v>0</v>
      </c>
      <c r="Q39" s="593">
        <f>SUM(Q38:Q38)</f>
        <v>2571.4285714285716</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200</v>
      </c>
      <c r="N41" s="593">
        <f>SUMIF($Z$38:$Z$39,"tertiair",N38:N39)</f>
        <v>900</v>
      </c>
      <c r="O41" s="593">
        <f>SUMIF($Z$38:$Z$39,"tertiair",O38:O39)</f>
        <v>0</v>
      </c>
      <c r="P41" s="593">
        <f>SUMIF($Z$38:$Z$39,"tertiair",P38:P39)</f>
        <v>0</v>
      </c>
      <c r="Q41" s="593">
        <f>SUMIF($Z$38:$Z$39,"tertiair",Q38:Q39)</f>
        <v>2571.4285714285716</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0.58823542195228662</v>
      </c>
      <c r="C48" s="618">
        <f>IF(ISERROR(N32/(O32+N32)),0,N32/(N32+O32))</f>
        <v>0.41176457804771344</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51208.855326086908</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73155.546218314659</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2021-06-29T14:25:50Z</dcterms:modified>
</cp:coreProperties>
</file>