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<sst xmlns="http://schemas.openxmlformats.org/spreadsheetml/2006/main" count="2448" uniqueCount="883">
  <si>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</si>
  <si>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</si>
  <si>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</si>
  <si>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</si>
  <si>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</si>
  <si>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</si>
  <si>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</si>
  <si>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</si>
  <si>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</si>
  <si>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</si>
  <si>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</si>
  <si>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</si>
  <si>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</si>
  <si>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</si>
  <si>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</si>
  <si>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</si>
  <si>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</si>
  <si>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</si>
  <si>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</si>
  <si>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</si>
  <si>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</si>
  <si>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</si>
  <si>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</si>
  <si>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</si>
  <si>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</si>
  <si>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</si>
  <si>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</si>
  <si>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</si>
  <si>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</si>
  <si>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</si>
  <si>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</si>
  <si>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</si>
  <si>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</si>
  <si>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</si>
  <si>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</si>
  <si>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</si>
  <si>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</si>
  <si>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</si>
  <si>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</si>
  <si>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</si>
  <si>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</si>
  <si>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</si>
  <si>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</si>
  <si>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</si>
  <si>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</si>
  <si>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</si>
  <si>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</si>
  <si>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</si>
  <si>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</si>
  <si>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</si>
  <si>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</si>
  <si>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</si>
  <si>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</si>
  <si>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</si>
  <si>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</si>
  <si>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</si>
  <si>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</si>
  <si>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</si>
  <si>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</si>
  <si>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</si>
  <si>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</si>
  <si>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</si>
  <si>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</si>
  <si>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</si>
  <si>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</si>
  <si>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</si>
  <si>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</si>
  <si>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</si>
  <si>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</si>
  <si>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</si>
  <si>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</si>
  <si>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</si>
  <si>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</si>
  <si>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</si>
  <si>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</si>
  <si>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</si>
  <si>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</si>
  <si>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</si>
  <si>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</si>
  <si>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</si>
  <si>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</si>
  <si>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</si>
  <si>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</si>
  <si>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</si>
  <si>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</si>
  <si>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</si>
  <si>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</si>
  <si>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</si>
  <si>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</si>
  <si>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</si>
  <si>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</si>
  <si>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</si>
  <si>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</si>
  <si>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</si>
  <si>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</si>
  <si>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</si>
  <si>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</si>
  <si>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</si>
  <si>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</si>
  <si>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</si>
  <si>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</si>
  <si>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</si>
  <si>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</si>
  <si>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</si>
  <si>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</si>
  <si>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</si>
  <si>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</si>
  <si>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</si>
  <si>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</si>
  <si>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</si>
  <si>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</si>
  <si>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</si>
  <si>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</si>
  <si>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</si>
  <si>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</si>
  <si>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</si>
  <si>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</si>
  <si>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</si>
  <si>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</si>
  <si>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</si>
  <si>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</si>
  <si>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</si>
  <si>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</si>
  <si>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</si>
  <si>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</si>
  <si>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</si>
  <si>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</si>
  <si>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</si>
  <si>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</si>
  <si>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</si>
  <si>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</si>
  <si>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</si>
  <si>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</si>
  <si>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</si>
  <si>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</si>
  <si>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</si>
  <si>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</si>
  <si>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</si>
  <si>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</si>
  <si>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</si>
  <si>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</si>
  <si>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</si>
  <si>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</si>
  <si>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</si>
  <si>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</si>
  <si>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</si>
  <si>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</si>
  <si>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</si>
  <si>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</si>
  <si>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</si>
  <si>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</si>
  <si>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</si>
  <si>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</si>
  <si>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</si>
  <si>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</si>
  <si>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</si>
  <si>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</si>
  <si>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</si>
  <si>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</si>
  <si>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</si>
  <si>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</si>
  <si>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</si>
  <si>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</si>
  <si>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</si>
  <si>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</si>
  <si>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</si>
  <si>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</si>
  <si>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</si>
  <si>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</si>
  <si>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</si>
  <si>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</si>
  <si>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</si>
  <si>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</si>
  <si>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</si>
  <si>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</si>
  <si>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</si>
  <si>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</si>
  <si>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</si>
  <si>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</si>
  <si>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</si>
  <si>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</si>
  <si>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</si>
  <si>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</si>
  <si>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</si>
  <si>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</si>
  <si>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</si>
  <si>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</si>
  <si>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</si>
  <si>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</si>
  <si>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</si>
  <si>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</si>
  <si>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</si>
  <si>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</si>
  <si>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</si>
  <si>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</si>
  <si>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</si>
  <si>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</si>
  <si>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</si>
  <si>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</si>
  <si>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</si>
  <si>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</si>
  <si>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</si>
  <si>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</si>
  <si>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</si>
  <si>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</si>
  <si>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</si>
  <si>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</si>
  <si>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</si>
  <si>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</si>
  <si>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</si>
  <si>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</si>
  <si>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</si>
  <si>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</si>
  <si>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</si>
  <si>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</si>
  <si>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</si>
  <si>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</si>
  <si>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</si>
  <si>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</si>
  <si>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</si>
  <si>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</si>
  <si>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</si>
  <si>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</si>
  <si>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</si>
  <si>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</si>
  <si>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</si>
  <si>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</si>
  <si>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</si>
  <si>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</si>
  <si>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</si>
  <si>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</si>
  <si>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</si>
  <si>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</si>
  <si>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</si>
  <si>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</si>
  <si>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</si>
  <si>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</si>
  <si>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</si>
  <si>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</si>
  <si>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</si>
  <si>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</si>
  <si>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</si>
  <si>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</si>
  <si>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</si>
  <si>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</si>
  <si>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</si>
  <si>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</si>
  <si>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</si>
  <si>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</si>
  <si>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</si>
  <si>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</si>
  <si>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</si>
  <si>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</si>
  <si>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</si>
  <si>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</si>
  <si>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</si>
  <si>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</si>
  <si>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</si>
  <si>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</si>
  <si>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</si>
  <si>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</si>
  <si>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</si>
  <si>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</si>
  <si>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</si>
  <si>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</si>
  <si>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</si>
  <si>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</si>
  <si>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</si>
  <si>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</si>
  <si>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</si>
  <si>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</si>
  <si>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</si>
  <si>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</si>
  <si>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</si>
  <si>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</si>
  <si>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</si>
  <si>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</si>
  <si>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</si>
  <si>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</si>
  <si>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</si>
  <si>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</si>
  <si>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</si>
  <si>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</si>
  <si>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</si>
  <si>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</si>
  <si>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</si>
  <si>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</si>
  <si>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</si>
  <si>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</si>
  <si>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</si>
  <si>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</si>
  <si>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</si>
  <si>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</si>
  <si>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</si>
  <si>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</si>
  <si>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</si>
  <si>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</si>
  <si>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</si>
  <si>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</si>
  <si>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</si>
  <si>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</si>
  <si>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</si>
  <si>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</si>
  <si>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</si>
  <si>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</si>
  <si>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</si>
  <si>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</si>
  <si>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</si>
  <si>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</si>
  <si>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</si>
  <si>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</si>
  <si>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</si>
  <si>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</si>
  <si>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</si>
  <si>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</si>
  <si>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</si>
  <si>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</si>
  <si>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</si>
  <si>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</si>
  <si>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</si>
  <si>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</si>
  <si>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</si>
  <si>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</si>
  <si>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</si>
  <si>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</si>
  <si>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</si>
  <si>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</si>
  <si>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</si>
  <si>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</si>
  <si>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</si>
  <si>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</si>
  <si>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</si>
  <si>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</si>
  <si>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</si>
  <si>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</si>
  <si>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</si>
  <si>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</si>
  <si>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</si>
  <si>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</si>
  <si>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</si>
  <si>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</si>
  <si>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</si>
  <si>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</si>
  <si>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</si>
  <si>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</si>
  <si>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</si>
  <si>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</si>
  <si>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</si>
  <si>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</si>
  <si>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</si>
  <si>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</si>
  <si>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</si>
  <si>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</si>
  <si>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</si>
  <si>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</si>
  <si>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</si>
  <si>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</si>
  <si>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</si>
  <si>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</si>
  <si>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</si>
  <si>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</si>
  <si>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</si>
  <si>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</si>
  <si>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</si>
  <si>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</si>
  <si>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</si>
  <si>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</si>
  <si>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</si>
  <si>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</si>
  <si>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</si>
  <si>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</si>
  <si>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</si>
  <si>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</si>
  <si>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</si>
  <si>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</si>
  <si>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</si>
  <si>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</si>
  <si>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</si>
  <si>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</si>
  <si>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</si>
  <si>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</si>
  <si>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</si>
  <si>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</si>
  <si>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</si>
  <si>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</si>
  <si>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</si>
  <si>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</si>
  <si>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</si>
  <si>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</si>
  <si>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</si>
  <si>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</si>
  <si>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</si>
  <si>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</si>
  <si>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</si>
  <si>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</si>
  <si>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</si>
  <si>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</si>
  <si>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</si>
  <si>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</si>
  <si>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</si>
  <si>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</si>
  <si>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</si>
  <si>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</si>
  <si>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</si>
  <si>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</si>
  <si>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</si>
  <si>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</si>
  <si>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</si>
  <si>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</si>
  <si>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</si>
  <si>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</si>
  <si>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</si>
  <si>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</si>
  <si>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</si>
  <si>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</si>
  <si>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</si>
  <si>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</si>
  <si>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</si>
  <si>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</si>
  <si>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</si>
  <si>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</si>
  <si>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</si>
  <si>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</si>
  <si>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</si>
  <si>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</si>
  <si>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</si>
  <si>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</si>
  <si>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</si>
  <si>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</si>
  <si>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</si>
  <si>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</si>
  <si>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</si>
  <si>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</si>
  <si>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</si>
  <si>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</si>
  <si>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</si>
  <si>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</si>
  <si>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</si>
  <si>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</si>
  <si>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</si>
  <si>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</si>
  <si>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</si>
  <si>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</si>
  <si>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</si>
  <si>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</si>
  <si>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</si>
  <si>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</si>
  <si>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</si>
  <si>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</si>
  <si>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</si>
  <si>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</si>
  <si>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</si>
  <si>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</si>
  <si>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</si>
  <si>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</si>
  <si>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</si>
  <si>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</si>
  <si>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</si>
  <si>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</si>
  <si>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</si>
  <si>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</si>
  <si>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</si>
  <si>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</si>
  <si>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</si>
  <si>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</si>
  <si>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</si>
  <si>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</si>
  <si>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</si>
  <si>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</si>
  <si>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</si>
  <si>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</si>
  <si>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</si>
  <si>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</si>
  <si>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</si>
  <si>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</si>
  <si>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</si>
  <si>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</si>
  <si>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</si>
  <si>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</si>
  <si>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</si>
  <si>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</si>
  <si>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</si>
  <si>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</si>
  <si>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</si>
  <si>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</si>
  <si>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</si>
  <si>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</si>
  <si>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</si>
  <si>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</si>
  <si>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</si>
  <si>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</si>
  <si>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</si>
  <si>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</si>
  <si>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</si>
  <si>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</si>
  <si>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</si>
  <si>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</si>
  <si>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</si>
  <si>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</si>
  <si>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</si>
  <si>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</si>
  <si>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</si>
  <si>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</si>
  <si>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</si>
  <si>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</si>
  <si>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</si>
  <si>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</si>
  <si>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</si>
  <si>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</si>
  <si>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</si>
  <si>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</si>
  <si>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</si>
  <si>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</si>
  <si>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</si>
  <si>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</si>
  <si>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</si>
  <si>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</si>
  <si>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</si>
  <si>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</si>
  <si>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</si>
  <si>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</si>
  <si>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</si>
  <si>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</si>
  <si>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</si>
  <si>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</si>
  <si>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</si>
  <si>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</si>
  <si>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</si>
  <si>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</si>
  <si>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</si>
  <si>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</si>
  <si>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</si>
  <si>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</si>
  <si>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</si>
  <si>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</si>
  <si>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</si>
  <si>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</si>
  <si>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</si>
  <si>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</si>
  <si>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</si>
  <si>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</si>
  <si>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</si>
  <si>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</si>
  <si>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</si>
  <si>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</si>
  <si>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</si>
  <si>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</si>
  <si>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</si>
  <si>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</si>
  <si>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</si>
  <si>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</si>
  <si>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</si>
  <si>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</si>
  <si>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</si>
  <si>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</si>
  <si>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</si>
  <si>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</si>
  <si>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</si>
  <si>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</si>
  <si>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</si>
  <si>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</si>
  <si>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</si>
  <si>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</si>
  <si>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</si>
  <si>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</si>
  <si>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</si>
  <si>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</si>
  <si>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</si>
  <si>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</si>
  <si>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</si>
  <si>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</si>
  <si>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</si>
  <si>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</si>
  <si>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</si>
  <si>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</si>
  <si>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</si>
  <si>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</si>
  <si>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</si>
  <si>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</si>
  <si>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</si>
  <si>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</si>
  <si>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</si>
  <si>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</si>
  <si>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</si>
  <si>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</si>
  <si>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</si>
  <si>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</si>
  <si>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</si>
  <si>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</si>
  <si>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</si>
  <si>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</si>
  <si>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</si>
  <si>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</si>
  <si>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</si>
  <si>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</si>
  <si>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</si>
  <si>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</si>
  <si>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</si>
  <si>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</si>
  <si>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</si>
  <si>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</si>
  <si>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</si>
  <si>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</si>
  <si>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</si>
  <si>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</si>
  <si>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</si>
  <si>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</si>
  <si>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</si>
  <si>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</si>
  <si>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</si>
  <si>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</si>
  <si>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</si>
  <si>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</si>
  <si>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</si>
  <si>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</si>
  <si>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</si>
  <si>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</si>
  <si>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</si>
  <si>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</si>
  <si>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</si>
  <si>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</si>
  <si>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</si>
  <si>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</si>
  <si>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</si>
  <si>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</si>
  <si>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</si>
  <si>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</si>
  <si>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</si>
  <si>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</si>
  <si>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</si>
  <si>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</si>
  <si>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</si>
  <si>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</si>
  <si>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</si>
  <si>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</si>
  <si>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</si>
  <si>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</si>
  <si>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</si>
  <si>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</si>
  <si>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</si>
  <si>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</si>
  <si>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</si>
  <si>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</si>
  <si>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</si>
  <si>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</si>
  <si>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</si>
  <si>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</si>
  <si>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</si>
  <si>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</si>
  <si>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</si>
  <si>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</si>
  <si>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</si>
  <si>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</si>
  <si>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</si>
  <si>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</si>
  <si>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</si>
  <si>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</si>
  <si>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</si>
  <si>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</si>
  <si>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</si>
  <si>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</si>
  <si>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</si>
  <si>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</si>
  <si>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</si>
  <si>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</si>
  <si>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</si>
  <si>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</si>
  <si>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</si>
  <si>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</si>
  <si>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</si>
  <si>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</si>
  <si>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</si>
  <si>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</si>
  <si>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</si>
  <si>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</si>
  <si>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</si>
  <si>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</si>
  <si>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</si>
  <si>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</si>
  <si>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</si>
  <si>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</si>
  <si>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</si>
  <si>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</si>
  <si>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</si>
  <si>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</si>
  <si>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</si>
  <si>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</si>
  <si>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</si>
  <si>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</si>
  <si>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</si>
  <si>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</si>
  <si>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</si>
  <si>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</si>
  <si>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</si>
  <si>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</si>
  <si>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</si>
  <si>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</si>
  <si>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</si>
  <si>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</si>
  <si>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</si>
  <si>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</si>
  <si>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</si>
  <si>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</si>
  <si>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</si>
  <si>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</si>
  <si>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</si>
  <si>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</si>
  <si>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</si>
  <si>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</si>
  <si>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</si>
  <si>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</si>
  <si>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</si>
  <si>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</si>
  <si>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</si>
  <si>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</si>
  <si>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</si>
  <si>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</si>
  <si>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</si>
  <si>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</si>
  <si>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</si>
  <si>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</si>
  <si>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</si>
  <si>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</si>
  <si>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</si>
  <si>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</si>
  <si>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</si>
  <si>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</si>
  <si>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</si>
  <si>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</si>
  <si>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</si>
  <si>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</si>
  <si>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</si>
  <si>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</si>
  <si>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</si>
  <si>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</si>
  <si>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</si>
  <si>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</si>
  <si>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</si>
  <si>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</si>
  <si>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</si>
  <si>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</si>
  <si>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</si>
  <si>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</si>
  <si>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</si>
  <si>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</si>
  <si>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</si>
  <si>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</si>
  <si>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</si>
  <si>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</si>
  <si>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</si>
  <si>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</si>
  <si>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</si>
  <si>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</si>
  <si>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</si>
  <si>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</si>
  <si>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</si>
  <si>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</si>
  <si>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</si>
  <si>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</si>
  <si>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</si>
  <si>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</si>
  <si>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</si>
  <si>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</si>
  <si>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</si>
  <si>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</si>
  <si>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</si>
  <si>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</si>
  <si>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</si>
  <si>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</si>
  <si>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</si>
  <si>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</si>
  <si>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</si>
  <si>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</si>
  <si>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</si>
  <si>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</si>
  <si>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</si>
  <si>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</si>
  <si>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</si>
  <si>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</si>
  <si>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</si>
  <si>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</si>
  <si>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</si>
  <si>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</si>
  <si>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</si>
  <si>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</si>
  <si>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</si>
  <si>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</si>
  <si>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</si>
  <si>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</si>
  <si>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</si>
  <si>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</si>
  <si>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</si>
  <si>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</si>
  <si>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</si>
  <si>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</si>
  <si>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</si>
  <si>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</si>
  <si>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</si>
  <si>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</si>
  <si>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</si>
  <si>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</si>
  <si>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</si>
  <si>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</si>
  <si>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</si>
  <si>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</si>
  <si>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</si>
  <si>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</si>
  <si>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</si>
  <si>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</si>
  <si>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</si>
  <si>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</si>
  <si>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</si>
  <si>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</si>
  <si>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</si>
  <si>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</si>
  <si>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</si>
  <si>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</si>
  <si>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</si>
  <si>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</si>
  <si>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</si>
  <si>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</si>
  <si>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</si>
  <si>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</si>
  <si>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</si>
  <si>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</si>
  <si>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</si>
  <si>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</si>
  <si>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</si>
  <si>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</si>
  <si>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</si>
  <si>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</si>
  <si>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</si>
  <si>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</si>
  <si>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</si>
  <si>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</si>
  <si>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</si>
  <si>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</si>
  <si>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</si>
  <si>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</si>
  <si>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</si>
  <si>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</si>
  <si>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</si>
  <si>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</si>
  <si>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</si>
  <si>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</si>
  <si>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</si>
  <si>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</si>
  <si>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</si>
  <si>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</si>
  <si>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</si>
  <si>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</si>
  <si>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</si>
  <si>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</si>
  <si>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</si>
  <si>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</si>
  <si>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</si>
  <si>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</si>
  <si>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</si>
  <si>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</si>
  <si>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</si>
  <si>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</si>
  <si>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</si>
  <si>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</si>
  <si>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</si>
  <si>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</si>
  <si>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</si>
  <si>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</si>
  <si>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</si>
  <si>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</si>
  <si>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</si>
  <si>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</si>
  <si>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</si>
  <si>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</si>
  <si>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</si>
  <si>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</si>
  <si>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</si>
  <si>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</si>
  <si>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</si>
  <si>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</si>
  <si>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13010</t>
  </si>
  <si>
    <t>GROBBENDONK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</si>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</sst>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102407.703286381</c:v>
                </c:pt>
                <c:pt idx="1">
                  <c:v>46909.713355271626</c:v>
                </c:pt>
                <c:pt idx="2">
                  <c:v>563.84199999999998</c:v>
                </c:pt>
                <c:pt idx="3">
                  <c:v>2596.0136114634756</c:v>
                </c:pt>
                <c:pt idx="4">
                  <c:v>100405.54723937037</c:v>
                </c:pt>
                <c:pt idx="5">
                  <c:v>228060.88411229014</c:v>
                </c:pt>
                <c:pt idx="6">
                  <c:v>943.15281180721695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102407.703286381</c:v>
                </c:pt>
                <c:pt idx="1">
                  <c:v>46909.713355271626</c:v>
                </c:pt>
                <c:pt idx="2">
                  <c:v>563.84199999999998</c:v>
                </c:pt>
                <c:pt idx="3">
                  <c:v>2596.0136114634756</c:v>
                </c:pt>
                <c:pt idx="4">
                  <c:v>100405.54723937037</c:v>
                </c:pt>
                <c:pt idx="5">
                  <c:v>228060.88411229014</c:v>
                </c:pt>
                <c:pt idx="6">
                  <c:v>943.15281180721695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20890.070727551691</c:v>
                </c:pt>
                <c:pt idx="1">
                  <c:v>9468.1639517283111</c:v>
                </c:pt>
                <c:pt idx="2">
                  <c:v>116.30843259519318</c:v>
                </c:pt>
                <c:pt idx="3">
                  <c:v>667.82568324569741</c:v>
                </c:pt>
                <c:pt idx="4">
                  <c:v>21213.959571200827</c:v>
                </c:pt>
                <c:pt idx="5">
                  <c:v>56867.594287859763</c:v>
                </c:pt>
                <c:pt idx="6">
                  <c:v>238.0664732044273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20890.070727551691</c:v>
                </c:pt>
                <c:pt idx="1">
                  <c:v>9468.1639517283111</c:v>
                </c:pt>
                <c:pt idx="2">
                  <c:v>116.30843259519318</c:v>
                </c:pt>
                <c:pt idx="3">
                  <c:v>667.82568324569741</c:v>
                </c:pt>
                <c:pt idx="4">
                  <c:v>21213.959571200827</c:v>
                </c:pt>
                <c:pt idx="5">
                  <c:v>56867.594287859763</c:v>
                </c:pt>
                <c:pt idx="6">
                  <c:v>238.0664732044273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13010</v>
      </c>
      <c r="B6" s="386"/>
      <c r="C6" s="387"/>
    </row>
    <row r="7" spans="1:7" s="384" customFormat="1" ht="15.75" customHeight="1">
      <c r="A7" s="388" t="str">
        <f>txtMunicipality</f>
        <v>GROBBENDONK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24251.864723727449</v>
      </c>
      <c r="D10" s="682">
        <f ca="1">tertiair!C16</f>
        <v>0</v>
      </c>
      <c r="E10" s="682">
        <f ca="1">tertiair!D16</f>
        <v>15598.086131859001</v>
      </c>
      <c r="F10" s="682">
        <f>tertiair!E16</f>
        <v>110.71018454417339</v>
      </c>
      <c r="G10" s="682">
        <f ca="1">tertiair!F16</f>
        <v>5265.431958060035</v>
      </c>
      <c r="H10" s="682">
        <f>tertiair!G16</f>
        <v>0</v>
      </c>
      <c r="I10" s="682">
        <f>tertiair!H16</f>
        <v>0</v>
      </c>
      <c r="J10" s="682">
        <f>tertiair!I16</f>
        <v>0</v>
      </c>
      <c r="K10" s="682">
        <f>tertiair!J16</f>
        <v>6.013684215189629E-2</v>
      </c>
      <c r="L10" s="682">
        <f>tertiair!K16</f>
        <v>0</v>
      </c>
      <c r="M10" s="682">
        <f ca="1">tertiair!L16</f>
        <v>0</v>
      </c>
      <c r="N10" s="682">
        <f>tertiair!M16</f>
        <v>0</v>
      </c>
      <c r="O10" s="682">
        <f ca="1">tertiair!N16</f>
        <v>2185.068560400654</v>
      </c>
      <c r="P10" s="682">
        <f>tertiair!O16</f>
        <v>9.7945215316823084</v>
      </c>
      <c r="Q10" s="683">
        <f>tertiair!P16</f>
        <v>52.539138306495019</v>
      </c>
      <c r="R10" s="685">
        <f ca="1">SUM(C10:Q10)</f>
        <v>47473.55535527163</v>
      </c>
      <c r="S10" s="67"/>
    </row>
    <row r="11" spans="1:19" s="445" customFormat="1">
      <c r="A11" s="803" t="s">
        <v>220</v>
      </c>
      <c r="B11" s="808"/>
      <c r="C11" s="682">
        <f>huishoudens!B8</f>
        <v>21498.146906000751</v>
      </c>
      <c r="D11" s="682">
        <f>huishoudens!C8</f>
        <v>0</v>
      </c>
      <c r="E11" s="682">
        <f>huishoudens!D8</f>
        <v>49777.406334310559</v>
      </c>
      <c r="F11" s="682">
        <f>huishoudens!E8</f>
        <v>1010.8339220377649</v>
      </c>
      <c r="G11" s="682">
        <f>huishoudens!F8</f>
        <v>22959.96101723516</v>
      </c>
      <c r="H11" s="682">
        <f>huishoudens!G8</f>
        <v>0</v>
      </c>
      <c r="I11" s="682">
        <f>huishoudens!H8</f>
        <v>0</v>
      </c>
      <c r="J11" s="682">
        <f>huishoudens!I8</f>
        <v>0</v>
      </c>
      <c r="K11" s="682">
        <f>huishoudens!J8</f>
        <v>114.86481117903962</v>
      </c>
      <c r="L11" s="682">
        <f>huishoudens!K8</f>
        <v>0</v>
      </c>
      <c r="M11" s="682">
        <f>huishoudens!L8</f>
        <v>0</v>
      </c>
      <c r="N11" s="682">
        <f>huishoudens!M8</f>
        <v>0</v>
      </c>
      <c r="O11" s="682">
        <f>huishoudens!N8</f>
        <v>6283.228587502821</v>
      </c>
      <c r="P11" s="682">
        <f>huishoudens!O8</f>
        <v>194.42790549992912</v>
      </c>
      <c r="Q11" s="683">
        <f>huishoudens!P8</f>
        <v>568.83380261499121</v>
      </c>
      <c r="R11" s="685">
        <f>SUM(C11:Q11)</f>
        <v>102407.703286381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45991.912287872736</v>
      </c>
      <c r="D13" s="682">
        <f>industrie!C18</f>
        <v>0</v>
      </c>
      <c r="E13" s="682">
        <f>industrie!D18</f>
        <v>34657.875561225002</v>
      </c>
      <c r="F13" s="682">
        <f>industrie!E18</f>
        <v>384.43907638821497</v>
      </c>
      <c r="G13" s="682">
        <f>industrie!F18</f>
        <v>17367.72616034776</v>
      </c>
      <c r="H13" s="682">
        <f>industrie!G18</f>
        <v>0</v>
      </c>
      <c r="I13" s="682">
        <f>industrie!H18</f>
        <v>0</v>
      </c>
      <c r="J13" s="682">
        <f>industrie!I18</f>
        <v>0</v>
      </c>
      <c r="K13" s="682">
        <f>industrie!J18</f>
        <v>4.179388283261094</v>
      </c>
      <c r="L13" s="682">
        <f>industrie!K18</f>
        <v>0</v>
      </c>
      <c r="M13" s="682">
        <f>industrie!L18</f>
        <v>0</v>
      </c>
      <c r="N13" s="682">
        <f>industrie!M18</f>
        <v>0</v>
      </c>
      <c r="O13" s="682">
        <f>industrie!N18</f>
        <v>1999.4147652533836</v>
      </c>
      <c r="P13" s="682">
        <f>industrie!O18</f>
        <v>0</v>
      </c>
      <c r="Q13" s="683">
        <f>industrie!P18</f>
        <v>0</v>
      </c>
      <c r="R13" s="685">
        <f>SUM(C13:Q13)</f>
        <v>100405.54723937037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91741.923917600943</v>
      </c>
      <c r="D16" s="718">
        <f t="shared" ref="D16:R16" ca="1" si="0">SUM(D9:D15)</f>
        <v>0</v>
      </c>
      <c r="E16" s="718">
        <f t="shared" ca="1" si="0"/>
        <v>100033.36802739456</v>
      </c>
      <c r="F16" s="718">
        <f t="shared" si="0"/>
        <v>1505.9831829701532</v>
      </c>
      <c r="G16" s="718">
        <f t="shared" ca="1" si="0"/>
        <v>45593.119135642955</v>
      </c>
      <c r="H16" s="718">
        <f t="shared" si="0"/>
        <v>0</v>
      </c>
      <c r="I16" s="718">
        <f t="shared" si="0"/>
        <v>0</v>
      </c>
      <c r="J16" s="718">
        <f t="shared" si="0"/>
        <v>0</v>
      </c>
      <c r="K16" s="718">
        <f t="shared" si="0"/>
        <v>119.1043363044526</v>
      </c>
      <c r="L16" s="718">
        <f t="shared" si="0"/>
        <v>0</v>
      </c>
      <c r="M16" s="718">
        <f t="shared" ca="1" si="0"/>
        <v>0</v>
      </c>
      <c r="N16" s="718">
        <f t="shared" si="0"/>
        <v>0</v>
      </c>
      <c r="O16" s="718">
        <f t="shared" ca="1" si="0"/>
        <v>10467.711913156858</v>
      </c>
      <c r="P16" s="718">
        <f t="shared" si="0"/>
        <v>204.22242703161143</v>
      </c>
      <c r="Q16" s="718">
        <f t="shared" si="0"/>
        <v>621.37294092148625</v>
      </c>
      <c r="R16" s="718">
        <f t="shared" ca="1" si="0"/>
        <v>250286.805881023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12.357936892033475</v>
      </c>
      <c r="D19" s="682">
        <f>transport!C54</f>
        <v>0</v>
      </c>
      <c r="E19" s="682">
        <f>transport!D54</f>
        <v>0</v>
      </c>
      <c r="F19" s="682">
        <f>transport!E54</f>
        <v>0</v>
      </c>
      <c r="G19" s="682">
        <f>transport!F54</f>
        <v>0</v>
      </c>
      <c r="H19" s="682">
        <f>transport!G54</f>
        <v>882.08725693633676</v>
      </c>
      <c r="I19" s="682">
        <f>transport!H54</f>
        <v>0</v>
      </c>
      <c r="J19" s="682">
        <f>transport!I54</f>
        <v>0</v>
      </c>
      <c r="K19" s="682">
        <f>transport!J54</f>
        <v>0</v>
      </c>
      <c r="L19" s="682">
        <f>transport!K54</f>
        <v>0</v>
      </c>
      <c r="M19" s="682">
        <f>transport!L54</f>
        <v>0</v>
      </c>
      <c r="N19" s="682">
        <f>transport!M54</f>
        <v>48.707617978846805</v>
      </c>
      <c r="O19" s="682">
        <f>transport!N54</f>
        <v>0</v>
      </c>
      <c r="P19" s="682">
        <f>transport!O54</f>
        <v>0</v>
      </c>
      <c r="Q19" s="683">
        <f>transport!P54</f>
        <v>0</v>
      </c>
      <c r="R19" s="685">
        <f>SUM(C19:Q19)</f>
        <v>943.15281180721695</v>
      </c>
      <c r="S19" s="67"/>
    </row>
    <row r="20" spans="1:19" s="445" customFormat="1">
      <c r="A20" s="803" t="s">
        <v>302</v>
      </c>
      <c r="B20" s="808"/>
      <c r="C20" s="682">
        <f>transport!B14</f>
        <v>356.63740769362272</v>
      </c>
      <c r="D20" s="682">
        <f>transport!C14</f>
        <v>0</v>
      </c>
      <c r="E20" s="682">
        <f>transport!D14</f>
        <v>542.20090036093109</v>
      </c>
      <c r="F20" s="682">
        <f>transport!E14</f>
        <v>342.77790263835942</v>
      </c>
      <c r="G20" s="682">
        <f>transport!F14</f>
        <v>0</v>
      </c>
      <c r="H20" s="682">
        <f>transport!G14</f>
        <v>180277.39993453331</v>
      </c>
      <c r="I20" s="682">
        <f>transport!H14</f>
        <v>34026.61341892332</v>
      </c>
      <c r="J20" s="682">
        <f>transport!I14</f>
        <v>0</v>
      </c>
      <c r="K20" s="682">
        <f>transport!J14</f>
        <v>0</v>
      </c>
      <c r="L20" s="682">
        <f>transport!K14</f>
        <v>0</v>
      </c>
      <c r="M20" s="682">
        <f>transport!L14</f>
        <v>0</v>
      </c>
      <c r="N20" s="682">
        <f>transport!M14</f>
        <v>12515.25454814059</v>
      </c>
      <c r="O20" s="682">
        <f>transport!N14</f>
        <v>0</v>
      </c>
      <c r="P20" s="682">
        <f>transport!O14</f>
        <v>0</v>
      </c>
      <c r="Q20" s="683">
        <f>transport!P14</f>
        <v>0</v>
      </c>
      <c r="R20" s="685">
        <f>SUM(C20:Q20)</f>
        <v>228060.88411229014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368.9953445856562</v>
      </c>
      <c r="D22" s="806">
        <f t="shared" ref="D22:R22" si="1">SUM(D18:D21)</f>
        <v>0</v>
      </c>
      <c r="E22" s="806">
        <f t="shared" si="1"/>
        <v>542.20090036093109</v>
      </c>
      <c r="F22" s="806">
        <f t="shared" si="1"/>
        <v>342.77790263835942</v>
      </c>
      <c r="G22" s="806">
        <f t="shared" si="1"/>
        <v>0</v>
      </c>
      <c r="H22" s="806">
        <f t="shared" si="1"/>
        <v>181159.48719146964</v>
      </c>
      <c r="I22" s="806">
        <f t="shared" si="1"/>
        <v>34026.61341892332</v>
      </c>
      <c r="J22" s="806">
        <f t="shared" si="1"/>
        <v>0</v>
      </c>
      <c r="K22" s="806">
        <f t="shared" si="1"/>
        <v>0</v>
      </c>
      <c r="L22" s="806">
        <f t="shared" si="1"/>
        <v>0</v>
      </c>
      <c r="M22" s="806">
        <f t="shared" si="1"/>
        <v>0</v>
      </c>
      <c r="N22" s="806">
        <f t="shared" si="1"/>
        <v>12563.962166119438</v>
      </c>
      <c r="O22" s="806">
        <f t="shared" si="1"/>
        <v>0</v>
      </c>
      <c r="P22" s="806">
        <f t="shared" si="1"/>
        <v>0</v>
      </c>
      <c r="Q22" s="806">
        <f t="shared" si="1"/>
        <v>0</v>
      </c>
      <c r="R22" s="806">
        <f t="shared" si="1"/>
        <v>229004.03692409737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560.2845124792251</v>
      </c>
      <c r="D24" s="682">
        <f>+landbouw!C8</f>
        <v>0</v>
      </c>
      <c r="E24" s="682">
        <f>+landbouw!D8</f>
        <v>49.977464187000002</v>
      </c>
      <c r="F24" s="682">
        <f>+landbouw!E8</f>
        <v>20.894723258419567</v>
      </c>
      <c r="G24" s="682">
        <f>+landbouw!F8</f>
        <v>1817.779460940428</v>
      </c>
      <c r="H24" s="682">
        <f>+landbouw!G8</f>
        <v>0</v>
      </c>
      <c r="I24" s="682">
        <f>+landbouw!H8</f>
        <v>0</v>
      </c>
      <c r="J24" s="682">
        <f>+landbouw!I8</f>
        <v>0</v>
      </c>
      <c r="K24" s="682">
        <f>+landbouw!J8</f>
        <v>147.07745059840309</v>
      </c>
      <c r="L24" s="682">
        <f>+landbouw!K8</f>
        <v>0</v>
      </c>
      <c r="M24" s="682">
        <f>+landbouw!L8</f>
        <v>0</v>
      </c>
      <c r="N24" s="682">
        <f>+landbouw!M8</f>
        <v>0</v>
      </c>
      <c r="O24" s="682">
        <f>+landbouw!N8</f>
        <v>0</v>
      </c>
      <c r="P24" s="682">
        <f>+landbouw!O8</f>
        <v>0</v>
      </c>
      <c r="Q24" s="683">
        <f>+landbouw!P8</f>
        <v>0</v>
      </c>
      <c r="R24" s="685">
        <f>SUM(C24:Q24)</f>
        <v>2596.0136114634756</v>
      </c>
      <c r="S24" s="67"/>
    </row>
    <row r="25" spans="1:19" s="445" customFormat="1" ht="15" thickBot="1">
      <c r="A25" s="825" t="s">
        <v>703</v>
      </c>
      <c r="B25" s="938"/>
      <c r="C25" s="939">
        <f>IF(Onbekend_ele_kWh="---",0,Onbekend_ele_kWh)/1000+IF(REST_rest_ele_kWh="---",0,REST_rest_ele_kWh)/1000</f>
        <v>444.19040699760302</v>
      </c>
      <c r="D25" s="939"/>
      <c r="E25" s="939">
        <f>IF(onbekend_gas_kWh="---",0,onbekend_gas_kWh)/1000+IF(REST_rest_gas_kWh="---",0,REST_rest_gas_kWh)/1000</f>
        <v>1377.2768473204728</v>
      </c>
      <c r="F25" s="939"/>
      <c r="G25" s="939"/>
      <c r="H25" s="939"/>
      <c r="I25" s="939"/>
      <c r="J25" s="939"/>
      <c r="K25" s="939"/>
      <c r="L25" s="939"/>
      <c r="M25" s="939"/>
      <c r="N25" s="939"/>
      <c r="O25" s="939"/>
      <c r="P25" s="939"/>
      <c r="Q25" s="940"/>
      <c r="R25" s="685">
        <f>SUM(C25:Q25)</f>
        <v>1821.4672543180759</v>
      </c>
      <c r="S25" s="67"/>
    </row>
    <row r="26" spans="1:19" s="445" customFormat="1" ht="15.75" thickBot="1">
      <c r="A26" s="690" t="s">
        <v>704</v>
      </c>
      <c r="B26" s="811"/>
      <c r="C26" s="806">
        <f>SUM(C24:C25)</f>
        <v>1004.4749194768281</v>
      </c>
      <c r="D26" s="806">
        <f t="shared" ref="D26:R26" si="2">SUM(D24:D25)</f>
        <v>0</v>
      </c>
      <c r="E26" s="806">
        <f t="shared" si="2"/>
        <v>1427.2543115074727</v>
      </c>
      <c r="F26" s="806">
        <f t="shared" si="2"/>
        <v>20.894723258419567</v>
      </c>
      <c r="G26" s="806">
        <f t="shared" si="2"/>
        <v>1817.779460940428</v>
      </c>
      <c r="H26" s="806">
        <f t="shared" si="2"/>
        <v>0</v>
      </c>
      <c r="I26" s="806">
        <f t="shared" si="2"/>
        <v>0</v>
      </c>
      <c r="J26" s="806">
        <f t="shared" si="2"/>
        <v>0</v>
      </c>
      <c r="K26" s="806">
        <f t="shared" si="2"/>
        <v>147.07745059840309</v>
      </c>
      <c r="L26" s="806">
        <f t="shared" si="2"/>
        <v>0</v>
      </c>
      <c r="M26" s="806">
        <f t="shared" si="2"/>
        <v>0</v>
      </c>
      <c r="N26" s="806">
        <f t="shared" si="2"/>
        <v>0</v>
      </c>
      <c r="O26" s="806">
        <f t="shared" si="2"/>
        <v>0</v>
      </c>
      <c r="P26" s="806">
        <f t="shared" si="2"/>
        <v>0</v>
      </c>
      <c r="Q26" s="806">
        <f t="shared" si="2"/>
        <v>0</v>
      </c>
      <c r="R26" s="806">
        <f t="shared" si="2"/>
        <v>4417.480865781552</v>
      </c>
      <c r="S26" s="67"/>
    </row>
    <row r="27" spans="1:19" s="445" customFormat="1" ht="17.25" thickTop="1" thickBot="1">
      <c r="A27" s="691" t="s">
        <v>115</v>
      </c>
      <c r="B27" s="798"/>
      <c r="C27" s="692">
        <f ca="1">C22+C16+C26</f>
        <v>93115.394181663418</v>
      </c>
      <c r="D27" s="692">
        <f t="shared" ref="D27:R27" ca="1" si="3">D22+D16+D26</f>
        <v>0</v>
      </c>
      <c r="E27" s="692">
        <f t="shared" ca="1" si="3"/>
        <v>102002.82323926296</v>
      </c>
      <c r="F27" s="692">
        <f t="shared" si="3"/>
        <v>1869.6558088669321</v>
      </c>
      <c r="G27" s="692">
        <f t="shared" ca="1" si="3"/>
        <v>47410.898596583385</v>
      </c>
      <c r="H27" s="692">
        <f t="shared" si="3"/>
        <v>181159.48719146964</v>
      </c>
      <c r="I27" s="692">
        <f t="shared" si="3"/>
        <v>34026.61341892332</v>
      </c>
      <c r="J27" s="692">
        <f t="shared" si="3"/>
        <v>0</v>
      </c>
      <c r="K27" s="692">
        <f t="shared" si="3"/>
        <v>266.18178690285572</v>
      </c>
      <c r="L27" s="692">
        <f t="shared" si="3"/>
        <v>0</v>
      </c>
      <c r="M27" s="692">
        <f t="shared" ca="1" si="3"/>
        <v>0</v>
      </c>
      <c r="N27" s="692">
        <f t="shared" si="3"/>
        <v>12563.962166119438</v>
      </c>
      <c r="O27" s="692">
        <f t="shared" ca="1" si="3"/>
        <v>10467.711913156858</v>
      </c>
      <c r="P27" s="692">
        <f t="shared" si="3"/>
        <v>204.22242703161143</v>
      </c>
      <c r="Q27" s="692">
        <f t="shared" si="3"/>
        <v>621.37294092148625</v>
      </c>
      <c r="R27" s="692">
        <f t="shared" ca="1" si="3"/>
        <v>483708.32367090194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5002.6361525523062</v>
      </c>
      <c r="D40" s="682">
        <f ca="1">tertiair!C20</f>
        <v>0</v>
      </c>
      <c r="E40" s="682">
        <f ca="1">tertiair!D20</f>
        <v>3150.8133986355183</v>
      </c>
      <c r="F40" s="682">
        <f>tertiair!E20</f>
        <v>25.131211891527361</v>
      </c>
      <c r="G40" s="682">
        <f ca="1">tertiair!F20</f>
        <v>1405.8703328020295</v>
      </c>
      <c r="H40" s="682">
        <f>tertiair!G20</f>
        <v>0</v>
      </c>
      <c r="I40" s="682">
        <f>tertiair!H20</f>
        <v>0</v>
      </c>
      <c r="J40" s="682">
        <f>tertiair!I20</f>
        <v>0</v>
      </c>
      <c r="K40" s="682">
        <f>tertiair!J20</f>
        <v>2.1288442121771285E-2</v>
      </c>
      <c r="L40" s="682">
        <f>tertiair!K20</f>
        <v>0</v>
      </c>
      <c r="M40" s="682">
        <f ca="1">tertiair!L20</f>
        <v>0</v>
      </c>
      <c r="N40" s="682">
        <f>tertiair!M20</f>
        <v>0</v>
      </c>
      <c r="O40" s="682">
        <f ca="1">tertiair!N20</f>
        <v>0</v>
      </c>
      <c r="P40" s="682">
        <f>tertiair!O20</f>
        <v>0</v>
      </c>
      <c r="Q40" s="765">
        <f>tertiair!P20</f>
        <v>0</v>
      </c>
      <c r="R40" s="844">
        <f t="shared" ca="1" si="4"/>
        <v>9584.4723843235042</v>
      </c>
    </row>
    <row r="41" spans="1:18">
      <c r="A41" s="816" t="s">
        <v>220</v>
      </c>
      <c r="B41" s="823"/>
      <c r="C41" s="682">
        <f ca="1">huishoudens!B12</f>
        <v>4434.6036129592139</v>
      </c>
      <c r="D41" s="682">
        <f ca="1">huishoudens!C12</f>
        <v>0</v>
      </c>
      <c r="E41" s="682">
        <f>huishoudens!D12</f>
        <v>10055.036079530733</v>
      </c>
      <c r="F41" s="682">
        <f>huishoudens!E12</f>
        <v>229.45930030257264</v>
      </c>
      <c r="G41" s="682">
        <f>huishoudens!F12</f>
        <v>6130.3095916017883</v>
      </c>
      <c r="H41" s="682">
        <f>huishoudens!G12</f>
        <v>0</v>
      </c>
      <c r="I41" s="682">
        <f>huishoudens!H12</f>
        <v>0</v>
      </c>
      <c r="J41" s="682">
        <f>huishoudens!I12</f>
        <v>0</v>
      </c>
      <c r="K41" s="682">
        <f>huishoudens!J12</f>
        <v>40.662143157380022</v>
      </c>
      <c r="L41" s="682">
        <f>huishoudens!K12</f>
        <v>0</v>
      </c>
      <c r="M41" s="682">
        <f>huishoudens!L12</f>
        <v>0</v>
      </c>
      <c r="N41" s="682">
        <f>huishoudens!M12</f>
        <v>0</v>
      </c>
      <c r="O41" s="682">
        <f>huishoudens!N12</f>
        <v>0</v>
      </c>
      <c r="P41" s="682">
        <f>huishoudens!O12</f>
        <v>0</v>
      </c>
      <c r="Q41" s="765">
        <f>huishoudens!P12</f>
        <v>0</v>
      </c>
      <c r="R41" s="844">
        <f t="shared" ca="1" si="4"/>
        <v>20890.070727551691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9487.1386492281235</v>
      </c>
      <c r="D43" s="682">
        <f ca="1">industrie!C22</f>
        <v>0</v>
      </c>
      <c r="E43" s="682">
        <f>industrie!D22</f>
        <v>7000.8908633674509</v>
      </c>
      <c r="F43" s="682">
        <f>industrie!E22</f>
        <v>87.267670340124795</v>
      </c>
      <c r="G43" s="682">
        <f>industrie!F22</f>
        <v>4637.1828848128525</v>
      </c>
      <c r="H43" s="682">
        <f>industrie!G22</f>
        <v>0</v>
      </c>
      <c r="I43" s="682">
        <f>industrie!H22</f>
        <v>0</v>
      </c>
      <c r="J43" s="682">
        <f>industrie!I22</f>
        <v>0</v>
      </c>
      <c r="K43" s="682">
        <f>industrie!J22</f>
        <v>1.4795034522744273</v>
      </c>
      <c r="L43" s="682">
        <f>industrie!K22</f>
        <v>0</v>
      </c>
      <c r="M43" s="682">
        <f>industrie!L22</f>
        <v>0</v>
      </c>
      <c r="N43" s="682">
        <f>industrie!M22</f>
        <v>0</v>
      </c>
      <c r="O43" s="682">
        <f>industrie!N22</f>
        <v>0</v>
      </c>
      <c r="P43" s="682">
        <f>industrie!O22</f>
        <v>0</v>
      </c>
      <c r="Q43" s="765">
        <f>industrie!P22</f>
        <v>0</v>
      </c>
      <c r="R43" s="843">
        <f t="shared" ca="1" si="4"/>
        <v>21213.959571200827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18924.378414739644</v>
      </c>
      <c r="D46" s="718">
        <f t="shared" ref="D46:Q46" ca="1" si="5">SUM(D39:D45)</f>
        <v>0</v>
      </c>
      <c r="E46" s="718">
        <f t="shared" ca="1" si="5"/>
        <v>20206.740341533703</v>
      </c>
      <c r="F46" s="718">
        <f t="shared" si="5"/>
        <v>341.8581825342248</v>
      </c>
      <c r="G46" s="718">
        <f t="shared" ca="1" si="5"/>
        <v>12173.362809216669</v>
      </c>
      <c r="H46" s="718">
        <f t="shared" si="5"/>
        <v>0</v>
      </c>
      <c r="I46" s="718">
        <f t="shared" si="5"/>
        <v>0</v>
      </c>
      <c r="J46" s="718">
        <f t="shared" si="5"/>
        <v>0</v>
      </c>
      <c r="K46" s="718">
        <f t="shared" si="5"/>
        <v>42.162935051776223</v>
      </c>
      <c r="L46" s="718">
        <f t="shared" si="5"/>
        <v>0</v>
      </c>
      <c r="M46" s="718">
        <f t="shared" ca="1" si="5"/>
        <v>0</v>
      </c>
      <c r="N46" s="718">
        <f t="shared" si="5"/>
        <v>0</v>
      </c>
      <c r="O46" s="718">
        <f t="shared" ca="1" si="5"/>
        <v>0</v>
      </c>
      <c r="P46" s="718">
        <f t="shared" si="5"/>
        <v>0</v>
      </c>
      <c r="Q46" s="718">
        <f t="shared" si="5"/>
        <v>0</v>
      </c>
      <c r="R46" s="718">
        <f ca="1">SUM(R39:R45)</f>
        <v>51688.502683076018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2.5491756024253722</v>
      </c>
      <c r="D49" s="682">
        <f ca="1">transport!C58</f>
        <v>0</v>
      </c>
      <c r="E49" s="682">
        <f>transport!D58</f>
        <v>0</v>
      </c>
      <c r="F49" s="682">
        <f>transport!E58</f>
        <v>0</v>
      </c>
      <c r="G49" s="682">
        <f>transport!F58</f>
        <v>0</v>
      </c>
      <c r="H49" s="682">
        <f>transport!G58</f>
        <v>235.51729760200192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238.0664732044273</v>
      </c>
    </row>
    <row r="50" spans="1:18">
      <c r="A50" s="819" t="s">
        <v>302</v>
      </c>
      <c r="B50" s="829"/>
      <c r="C50" s="688">
        <f ca="1">transport!B18</f>
        <v>73.566598255642802</v>
      </c>
      <c r="D50" s="688">
        <f>transport!C18</f>
        <v>0</v>
      </c>
      <c r="E50" s="688">
        <f>transport!D18</f>
        <v>109.52458187290809</v>
      </c>
      <c r="F50" s="688">
        <f>transport!E18</f>
        <v>77.810583898907595</v>
      </c>
      <c r="G50" s="688">
        <f>transport!F18</f>
        <v>0</v>
      </c>
      <c r="H50" s="688">
        <f>transport!G18</f>
        <v>48134.065782520396</v>
      </c>
      <c r="I50" s="688">
        <f>transport!H18</f>
        <v>8472.6267413119058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56867.594287859763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76.115773858068181</v>
      </c>
      <c r="D52" s="718">
        <f t="shared" ref="D52:Q52" ca="1" si="6">SUM(D48:D51)</f>
        <v>0</v>
      </c>
      <c r="E52" s="718">
        <f t="shared" si="6"/>
        <v>109.52458187290809</v>
      </c>
      <c r="F52" s="718">
        <f t="shared" si="6"/>
        <v>77.810583898907595</v>
      </c>
      <c r="G52" s="718">
        <f t="shared" si="6"/>
        <v>0</v>
      </c>
      <c r="H52" s="718">
        <f t="shared" si="6"/>
        <v>48369.5830801224</v>
      </c>
      <c r="I52" s="718">
        <f t="shared" si="6"/>
        <v>8472.6267413119058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57105.660761064188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115.57459971733327</v>
      </c>
      <c r="D54" s="688">
        <f ca="1">+landbouw!C12</f>
        <v>0</v>
      </c>
      <c r="E54" s="688">
        <f>+landbouw!D12</f>
        <v>10.095447765774001</v>
      </c>
      <c r="F54" s="688">
        <f>+landbouw!E12</f>
        <v>4.7431021796612418</v>
      </c>
      <c r="G54" s="688">
        <f>+landbouw!F12</f>
        <v>485.34711607109426</v>
      </c>
      <c r="H54" s="688">
        <f>+landbouw!G12</f>
        <v>0</v>
      </c>
      <c r="I54" s="688">
        <f>+landbouw!H12</f>
        <v>0</v>
      </c>
      <c r="J54" s="688">
        <f>+landbouw!I12</f>
        <v>0</v>
      </c>
      <c r="K54" s="688">
        <f>+landbouw!J12</f>
        <v>52.065417511834688</v>
      </c>
      <c r="L54" s="688">
        <f>+landbouw!K12</f>
        <v>0</v>
      </c>
      <c r="M54" s="688">
        <f>+landbouw!L12</f>
        <v>0</v>
      </c>
      <c r="N54" s="688">
        <f>+landbouw!M12</f>
        <v>0</v>
      </c>
      <c r="O54" s="688">
        <f>+landbouw!N12</f>
        <v>0</v>
      </c>
      <c r="P54" s="688">
        <f>+landbouw!O12</f>
        <v>0</v>
      </c>
      <c r="Q54" s="689">
        <f>+landbouw!P12</f>
        <v>0</v>
      </c>
      <c r="R54" s="717">
        <f ca="1">SUM(C54:Q54)</f>
        <v>667.82568324569741</v>
      </c>
    </row>
    <row r="55" spans="1:18" ht="15" thickBot="1">
      <c r="A55" s="819" t="s">
        <v>703</v>
      </c>
      <c r="B55" s="829"/>
      <c r="C55" s="688">
        <f ca="1">C25*'EF ele_warmte'!B12</f>
        <v>91.626891951490208</v>
      </c>
      <c r="D55" s="688"/>
      <c r="E55" s="688">
        <f>E25*EF_CO2_aardgas</f>
        <v>278.20992315873553</v>
      </c>
      <c r="F55" s="688"/>
      <c r="G55" s="688"/>
      <c r="H55" s="688"/>
      <c r="I55" s="688"/>
      <c r="J55" s="688"/>
      <c r="K55" s="688"/>
      <c r="L55" s="688"/>
      <c r="M55" s="688"/>
      <c r="N55" s="688"/>
      <c r="O55" s="688"/>
      <c r="P55" s="688"/>
      <c r="Q55" s="689"/>
      <c r="R55" s="717">
        <f ca="1">SUM(C55:Q55)</f>
        <v>369.83681511022576</v>
      </c>
    </row>
    <row r="56" spans="1:18" ht="15.75" thickBot="1">
      <c r="A56" s="817" t="s">
        <v>704</v>
      </c>
      <c r="B56" s="830"/>
      <c r="C56" s="718">
        <f ca="1">SUM(C54:C55)</f>
        <v>207.20149166882348</v>
      </c>
      <c r="D56" s="718">
        <f t="shared" ref="D56:Q56" ca="1" si="7">SUM(D54:D55)</f>
        <v>0</v>
      </c>
      <c r="E56" s="718">
        <f t="shared" si="7"/>
        <v>288.30537092450953</v>
      </c>
      <c r="F56" s="718">
        <f t="shared" si="7"/>
        <v>4.7431021796612418</v>
      </c>
      <c r="G56" s="718">
        <f t="shared" si="7"/>
        <v>485.34711607109426</v>
      </c>
      <c r="H56" s="718">
        <f t="shared" si="7"/>
        <v>0</v>
      </c>
      <c r="I56" s="718">
        <f t="shared" si="7"/>
        <v>0</v>
      </c>
      <c r="J56" s="718">
        <f t="shared" si="7"/>
        <v>0</v>
      </c>
      <c r="K56" s="718">
        <f t="shared" si="7"/>
        <v>52.065417511834688</v>
      </c>
      <c r="L56" s="718">
        <f t="shared" si="7"/>
        <v>0</v>
      </c>
      <c r="M56" s="718">
        <f t="shared" si="7"/>
        <v>0</v>
      </c>
      <c r="N56" s="718">
        <f t="shared" si="7"/>
        <v>0</v>
      </c>
      <c r="O56" s="718">
        <f t="shared" si="7"/>
        <v>0</v>
      </c>
      <c r="P56" s="718">
        <f t="shared" si="7"/>
        <v>0</v>
      </c>
      <c r="Q56" s="719">
        <f t="shared" si="7"/>
        <v>0</v>
      </c>
      <c r="R56" s="720">
        <f ca="1">SUM(R54:R55)</f>
        <v>1037.6624983559232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19207.695680266537</v>
      </c>
      <c r="D61" s="726">
        <f t="shared" ref="D61:Q61" ca="1" si="8">D46+D52+D56</f>
        <v>0</v>
      </c>
      <c r="E61" s="726">
        <f t="shared" ca="1" si="8"/>
        <v>20604.570294331123</v>
      </c>
      <c r="F61" s="726">
        <f t="shared" si="8"/>
        <v>424.41186861279368</v>
      </c>
      <c r="G61" s="726">
        <f t="shared" ca="1" si="8"/>
        <v>12658.709925287763</v>
      </c>
      <c r="H61" s="726">
        <f t="shared" si="8"/>
        <v>48369.5830801224</v>
      </c>
      <c r="I61" s="726">
        <f t="shared" si="8"/>
        <v>8472.6267413119058</v>
      </c>
      <c r="J61" s="726">
        <f t="shared" si="8"/>
        <v>0</v>
      </c>
      <c r="K61" s="726">
        <f t="shared" si="8"/>
        <v>94.228352563610912</v>
      </c>
      <c r="L61" s="726">
        <f t="shared" si="8"/>
        <v>0</v>
      </c>
      <c r="M61" s="726">
        <f t="shared" ca="1" si="8"/>
        <v>0</v>
      </c>
      <c r="N61" s="726">
        <f t="shared" si="8"/>
        <v>0</v>
      </c>
      <c r="O61" s="726">
        <f t="shared" ca="1" si="8"/>
        <v>0</v>
      </c>
      <c r="P61" s="726">
        <f t="shared" si="8"/>
        <v>0</v>
      </c>
      <c r="Q61" s="726">
        <f t="shared" si="8"/>
        <v>0</v>
      </c>
      <c r="R61" s="726">
        <f ca="1">R46+R52+R56</f>
        <v>109831.82594249613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0.20627841238359895</v>
      </c>
      <c r="D63" s="772">
        <f t="shared" ca="1" si="9"/>
        <v>0</v>
      </c>
      <c r="E63" s="964">
        <f t="shared" ca="1" si="9"/>
        <v>0.20200000000000004</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6202.7440447107756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6202.7440447107756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21498.146906000751</v>
      </c>
      <c r="C4" s="449">
        <f>huishoudens!C8</f>
        <v>0</v>
      </c>
      <c r="D4" s="449">
        <f>huishoudens!D8</f>
        <v>49777.406334310559</v>
      </c>
      <c r="E4" s="449">
        <f>huishoudens!E8</f>
        <v>1010.8339220377649</v>
      </c>
      <c r="F4" s="449">
        <f>huishoudens!F8</f>
        <v>22959.96101723516</v>
      </c>
      <c r="G4" s="449">
        <f>huishoudens!G8</f>
        <v>0</v>
      </c>
      <c r="H4" s="449">
        <f>huishoudens!H8</f>
        <v>0</v>
      </c>
      <c r="I4" s="449">
        <f>huishoudens!I8</f>
        <v>0</v>
      </c>
      <c r="J4" s="449">
        <f>huishoudens!J8</f>
        <v>114.86481117903962</v>
      </c>
      <c r="K4" s="449">
        <f>huishoudens!K8</f>
        <v>0</v>
      </c>
      <c r="L4" s="449">
        <f>huishoudens!L8</f>
        <v>0</v>
      </c>
      <c r="M4" s="449">
        <f>huishoudens!M8</f>
        <v>0</v>
      </c>
      <c r="N4" s="449">
        <f>huishoudens!N8</f>
        <v>6283.228587502821</v>
      </c>
      <c r="O4" s="449">
        <f>huishoudens!O8</f>
        <v>194.42790549992912</v>
      </c>
      <c r="P4" s="450">
        <f>huishoudens!P8</f>
        <v>568.83380261499121</v>
      </c>
      <c r="Q4" s="451">
        <f>SUM(B4:P4)</f>
        <v>102407.703286381</v>
      </c>
    </row>
    <row r="5" spans="1:17">
      <c r="A5" s="448" t="s">
        <v>155</v>
      </c>
      <c r="B5" s="449">
        <f ca="1">tertiair!B16</f>
        <v>23688.022723727448</v>
      </c>
      <c r="C5" s="449">
        <f ca="1">tertiair!C16</f>
        <v>0</v>
      </c>
      <c r="D5" s="449">
        <f ca="1">tertiair!D16</f>
        <v>15598.086131859001</v>
      </c>
      <c r="E5" s="449">
        <f>tertiair!E16</f>
        <v>110.71018454417339</v>
      </c>
      <c r="F5" s="449">
        <f ca="1">tertiair!F16</f>
        <v>5265.431958060035</v>
      </c>
      <c r="G5" s="449">
        <f>tertiair!G16</f>
        <v>0</v>
      </c>
      <c r="H5" s="449">
        <f>tertiair!H16</f>
        <v>0</v>
      </c>
      <c r="I5" s="449">
        <f>tertiair!I16</f>
        <v>0</v>
      </c>
      <c r="J5" s="449">
        <f>tertiair!J16</f>
        <v>6.013684215189629E-2</v>
      </c>
      <c r="K5" s="449">
        <f>tertiair!K16</f>
        <v>0</v>
      </c>
      <c r="L5" s="449">
        <f ca="1">tertiair!L16</f>
        <v>0</v>
      </c>
      <c r="M5" s="449">
        <f>tertiair!M16</f>
        <v>0</v>
      </c>
      <c r="N5" s="449">
        <f ca="1">tertiair!N16</f>
        <v>2185.068560400654</v>
      </c>
      <c r="O5" s="449">
        <f>tertiair!O16</f>
        <v>9.7945215316823084</v>
      </c>
      <c r="P5" s="450">
        <f>tertiair!P16</f>
        <v>52.539138306495019</v>
      </c>
      <c r="Q5" s="448">
        <f t="shared" ref="Q5:Q14" ca="1" si="0">SUM(B5:P5)</f>
        <v>46909.713355271626</v>
      </c>
    </row>
    <row r="6" spans="1:17">
      <c r="A6" s="448" t="s">
        <v>193</v>
      </c>
      <c r="B6" s="449">
        <f>'openbare verlichting'!B8</f>
        <v>563.84199999999998</v>
      </c>
      <c r="C6" s="449"/>
      <c r="D6" s="449"/>
      <c r="E6" s="449"/>
      <c r="F6" s="449"/>
      <c r="G6" s="449"/>
      <c r="H6" s="449"/>
      <c r="I6" s="449"/>
      <c r="J6" s="449"/>
      <c r="K6" s="449"/>
      <c r="L6" s="449"/>
      <c r="M6" s="449"/>
      <c r="N6" s="449"/>
      <c r="O6" s="449"/>
      <c r="P6" s="450"/>
      <c r="Q6" s="448">
        <f t="shared" si="0"/>
        <v>563.84199999999998</v>
      </c>
    </row>
    <row r="7" spans="1:17">
      <c r="A7" s="448" t="s">
        <v>111</v>
      </c>
      <c r="B7" s="449">
        <f>landbouw!B8</f>
        <v>560.2845124792251</v>
      </c>
      <c r="C7" s="449">
        <f>landbouw!C8</f>
        <v>0</v>
      </c>
      <c r="D7" s="449">
        <f>landbouw!D8</f>
        <v>49.977464187000002</v>
      </c>
      <c r="E7" s="449">
        <f>landbouw!E8</f>
        <v>20.894723258419567</v>
      </c>
      <c r="F7" s="449">
        <f>landbouw!F8</f>
        <v>1817.779460940428</v>
      </c>
      <c r="G7" s="449">
        <f>landbouw!G8</f>
        <v>0</v>
      </c>
      <c r="H7" s="449">
        <f>landbouw!H8</f>
        <v>0</v>
      </c>
      <c r="I7" s="449">
        <f>landbouw!I8</f>
        <v>0</v>
      </c>
      <c r="J7" s="449">
        <f>landbouw!J8</f>
        <v>147.07745059840309</v>
      </c>
      <c r="K7" s="449">
        <f>landbouw!K8</f>
        <v>0</v>
      </c>
      <c r="L7" s="449">
        <f>landbouw!L8</f>
        <v>0</v>
      </c>
      <c r="M7" s="449">
        <f>landbouw!M8</f>
        <v>0</v>
      </c>
      <c r="N7" s="449">
        <f>landbouw!N8</f>
        <v>0</v>
      </c>
      <c r="O7" s="449">
        <f>landbouw!O8</f>
        <v>0</v>
      </c>
      <c r="P7" s="450">
        <f>landbouw!P8</f>
        <v>0</v>
      </c>
      <c r="Q7" s="448">
        <f t="shared" si="0"/>
        <v>2596.0136114634756</v>
      </c>
    </row>
    <row r="8" spans="1:17">
      <c r="A8" s="448" t="s">
        <v>618</v>
      </c>
      <c r="B8" s="449">
        <f>industrie!B18</f>
        <v>45991.912287872736</v>
      </c>
      <c r="C8" s="449">
        <f>industrie!C18</f>
        <v>0</v>
      </c>
      <c r="D8" s="449">
        <f>industrie!D18</f>
        <v>34657.875561225002</v>
      </c>
      <c r="E8" s="449">
        <f>industrie!E18</f>
        <v>384.43907638821497</v>
      </c>
      <c r="F8" s="449">
        <f>industrie!F18</f>
        <v>17367.72616034776</v>
      </c>
      <c r="G8" s="449">
        <f>industrie!G18</f>
        <v>0</v>
      </c>
      <c r="H8" s="449">
        <f>industrie!H18</f>
        <v>0</v>
      </c>
      <c r="I8" s="449">
        <f>industrie!I18</f>
        <v>0</v>
      </c>
      <c r="J8" s="449">
        <f>industrie!J18</f>
        <v>4.179388283261094</v>
      </c>
      <c r="K8" s="449">
        <f>industrie!K18</f>
        <v>0</v>
      </c>
      <c r="L8" s="449">
        <f>industrie!L18</f>
        <v>0</v>
      </c>
      <c r="M8" s="449">
        <f>industrie!M18</f>
        <v>0</v>
      </c>
      <c r="N8" s="449">
        <f>industrie!N18</f>
        <v>1999.4147652533836</v>
      </c>
      <c r="O8" s="449">
        <f>industrie!O18</f>
        <v>0</v>
      </c>
      <c r="P8" s="450">
        <f>industrie!P18</f>
        <v>0</v>
      </c>
      <c r="Q8" s="448">
        <f t="shared" si="0"/>
        <v>100405.54723937037</v>
      </c>
    </row>
    <row r="9" spans="1:17" s="454" customFormat="1">
      <c r="A9" s="452" t="s">
        <v>544</v>
      </c>
      <c r="B9" s="453">
        <f>transport!B14</f>
        <v>356.63740769362272</v>
      </c>
      <c r="C9" s="453">
        <f>transport!C14</f>
        <v>0</v>
      </c>
      <c r="D9" s="453">
        <f>transport!D14</f>
        <v>542.20090036093109</v>
      </c>
      <c r="E9" s="453">
        <f>transport!E14</f>
        <v>342.77790263835942</v>
      </c>
      <c r="F9" s="453">
        <f>transport!F14</f>
        <v>0</v>
      </c>
      <c r="G9" s="453">
        <f>transport!G14</f>
        <v>180277.39993453331</v>
      </c>
      <c r="H9" s="453">
        <f>transport!H14</f>
        <v>34026.61341892332</v>
      </c>
      <c r="I9" s="453">
        <f>transport!I14</f>
        <v>0</v>
      </c>
      <c r="J9" s="453">
        <f>transport!J14</f>
        <v>0</v>
      </c>
      <c r="K9" s="453">
        <f>transport!K14</f>
        <v>0</v>
      </c>
      <c r="L9" s="453">
        <f>transport!L14</f>
        <v>0</v>
      </c>
      <c r="M9" s="453">
        <f>transport!M14</f>
        <v>12515.25454814059</v>
      </c>
      <c r="N9" s="453">
        <f>transport!N14</f>
        <v>0</v>
      </c>
      <c r="O9" s="453">
        <f>transport!O14</f>
        <v>0</v>
      </c>
      <c r="P9" s="453">
        <f>transport!P14</f>
        <v>0</v>
      </c>
      <c r="Q9" s="452">
        <f>SUM(B9:P9)</f>
        <v>228060.88411229014</v>
      </c>
    </row>
    <row r="10" spans="1:17">
      <c r="A10" s="448" t="s">
        <v>534</v>
      </c>
      <c r="B10" s="449">
        <f>transport!B54</f>
        <v>12.357936892033475</v>
      </c>
      <c r="C10" s="449">
        <f>transport!C54</f>
        <v>0</v>
      </c>
      <c r="D10" s="449">
        <f>transport!D54</f>
        <v>0</v>
      </c>
      <c r="E10" s="449">
        <f>transport!E54</f>
        <v>0</v>
      </c>
      <c r="F10" s="449">
        <f>transport!F54</f>
        <v>0</v>
      </c>
      <c r="G10" s="449">
        <f>transport!G54</f>
        <v>882.08725693633676</v>
      </c>
      <c r="H10" s="449">
        <f>transport!H54</f>
        <v>0</v>
      </c>
      <c r="I10" s="449">
        <f>transport!I54</f>
        <v>0</v>
      </c>
      <c r="J10" s="449">
        <f>transport!J54</f>
        <v>0</v>
      </c>
      <c r="K10" s="449">
        <f>transport!K54</f>
        <v>0</v>
      </c>
      <c r="L10" s="449">
        <f>transport!L54</f>
        <v>0</v>
      </c>
      <c r="M10" s="449">
        <f>transport!M54</f>
        <v>48.707617978846805</v>
      </c>
      <c r="N10" s="449">
        <f>transport!N54</f>
        <v>0</v>
      </c>
      <c r="O10" s="449">
        <f>transport!O54</f>
        <v>0</v>
      </c>
      <c r="P10" s="450">
        <f>transport!P54</f>
        <v>0</v>
      </c>
      <c r="Q10" s="448">
        <f t="shared" si="0"/>
        <v>943.15281180721695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444.19040699760302</v>
      </c>
      <c r="C14" s="456"/>
      <c r="D14" s="456">
        <f>'SEAP template'!E25</f>
        <v>1377.2768473204728</v>
      </c>
      <c r="E14" s="456"/>
      <c r="F14" s="456"/>
      <c r="G14" s="456"/>
      <c r="H14" s="456"/>
      <c r="I14" s="456"/>
      <c r="J14" s="456"/>
      <c r="K14" s="456"/>
      <c r="L14" s="456"/>
      <c r="M14" s="456"/>
      <c r="N14" s="456"/>
      <c r="O14" s="456"/>
      <c r="P14" s="457"/>
      <c r="Q14" s="448">
        <f t="shared" si="0"/>
        <v>1821.4672543180759</v>
      </c>
    </row>
    <row r="15" spans="1:17" s="460" customFormat="1">
      <c r="A15" s="458" t="s">
        <v>538</v>
      </c>
      <c r="B15" s="459">
        <f ca="1">SUM(B4:B14)</f>
        <v>93115.394181663403</v>
      </c>
      <c r="C15" s="459">
        <f t="shared" ref="C15:Q15" ca="1" si="1">SUM(C4:C14)</f>
        <v>0</v>
      </c>
      <c r="D15" s="459">
        <f t="shared" ca="1" si="1"/>
        <v>102002.82323926297</v>
      </c>
      <c r="E15" s="459">
        <f t="shared" si="1"/>
        <v>1869.6558088669321</v>
      </c>
      <c r="F15" s="459">
        <f t="shared" ca="1" si="1"/>
        <v>47410.898596583385</v>
      </c>
      <c r="G15" s="459">
        <f t="shared" si="1"/>
        <v>181159.48719146964</v>
      </c>
      <c r="H15" s="459">
        <f t="shared" si="1"/>
        <v>34026.61341892332</v>
      </c>
      <c r="I15" s="459">
        <f t="shared" si="1"/>
        <v>0</v>
      </c>
      <c r="J15" s="459">
        <f t="shared" si="1"/>
        <v>266.18178690285572</v>
      </c>
      <c r="K15" s="459">
        <f t="shared" si="1"/>
        <v>0</v>
      </c>
      <c r="L15" s="459">
        <f t="shared" ca="1" si="1"/>
        <v>0</v>
      </c>
      <c r="M15" s="459">
        <f t="shared" si="1"/>
        <v>12563.962166119438</v>
      </c>
      <c r="N15" s="459">
        <f t="shared" ca="1" si="1"/>
        <v>10467.711913156858</v>
      </c>
      <c r="O15" s="459">
        <f t="shared" si="1"/>
        <v>204.22242703161143</v>
      </c>
      <c r="P15" s="459">
        <f t="shared" si="1"/>
        <v>621.37294092148625</v>
      </c>
      <c r="Q15" s="459">
        <f t="shared" ca="1" si="1"/>
        <v>483708.32367090194</v>
      </c>
    </row>
    <row r="17" spans="1:17">
      <c r="A17" s="461" t="s">
        <v>539</v>
      </c>
      <c r="B17" s="777">
        <f ca="1">huishoudens!B10</f>
        <v>0.20627841238359892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4434.6036129592139</v>
      </c>
      <c r="C22" s="449">
        <f t="shared" ref="C22:C32" ca="1" si="3">C4*$C$17</f>
        <v>0</v>
      </c>
      <c r="D22" s="449">
        <f t="shared" ref="D22:D32" si="4">D4*$D$17</f>
        <v>10055.036079530733</v>
      </c>
      <c r="E22" s="449">
        <f t="shared" ref="E22:E32" si="5">E4*$E$17</f>
        <v>229.45930030257264</v>
      </c>
      <c r="F22" s="449">
        <f t="shared" ref="F22:F32" si="6">F4*$F$17</f>
        <v>6130.3095916017883</v>
      </c>
      <c r="G22" s="449">
        <f t="shared" ref="G22:G32" si="7">G4*$G$17</f>
        <v>0</v>
      </c>
      <c r="H22" s="449">
        <f t="shared" ref="H22:H32" si="8">H4*$H$17</f>
        <v>0</v>
      </c>
      <c r="I22" s="449">
        <f t="shared" ref="I22:I32" si="9">I4*$I$17</f>
        <v>0</v>
      </c>
      <c r="J22" s="449">
        <f t="shared" ref="J22:J32" si="10">J4*$J$17</f>
        <v>40.662143157380022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20890.070727551691</v>
      </c>
    </row>
    <row r="23" spans="1:17">
      <c r="A23" s="448" t="s">
        <v>155</v>
      </c>
      <c r="B23" s="449">
        <f t="shared" ca="1" si="2"/>
        <v>4886.327719957113</v>
      </c>
      <c r="C23" s="449">
        <f t="shared" ca="1" si="3"/>
        <v>0</v>
      </c>
      <c r="D23" s="449">
        <f t="shared" ca="1" si="4"/>
        <v>3150.8133986355183</v>
      </c>
      <c r="E23" s="449">
        <f t="shared" si="5"/>
        <v>25.131211891527361</v>
      </c>
      <c r="F23" s="449">
        <f t="shared" ca="1" si="6"/>
        <v>1405.8703328020295</v>
      </c>
      <c r="G23" s="449">
        <f t="shared" si="7"/>
        <v>0</v>
      </c>
      <c r="H23" s="449">
        <f t="shared" si="8"/>
        <v>0</v>
      </c>
      <c r="I23" s="449">
        <f t="shared" si="9"/>
        <v>0</v>
      </c>
      <c r="J23" s="449">
        <f t="shared" si="10"/>
        <v>2.1288442121771285E-2</v>
      </c>
      <c r="K23" s="449">
        <f t="shared" si="11"/>
        <v>0</v>
      </c>
      <c r="L23" s="449">
        <f t="shared" ca="1" si="12"/>
        <v>0</v>
      </c>
      <c r="M23" s="449">
        <f t="shared" si="13"/>
        <v>0</v>
      </c>
      <c r="N23" s="449">
        <f t="shared" ca="1" si="14"/>
        <v>0</v>
      </c>
      <c r="O23" s="449">
        <f t="shared" si="15"/>
        <v>0</v>
      </c>
      <c r="P23" s="450">
        <f t="shared" si="16"/>
        <v>0</v>
      </c>
      <c r="Q23" s="448">
        <f t="shared" ref="Q23:Q31" ca="1" si="17">SUM(B23:P23)</f>
        <v>9468.1639517283111</v>
      </c>
    </row>
    <row r="24" spans="1:17">
      <c r="A24" s="448" t="s">
        <v>193</v>
      </c>
      <c r="B24" s="449">
        <f t="shared" ca="1" si="2"/>
        <v>116.30843259519318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116.30843259519318</v>
      </c>
    </row>
    <row r="25" spans="1:17">
      <c r="A25" s="448" t="s">
        <v>111</v>
      </c>
      <c r="B25" s="449">
        <f t="shared" ca="1" si="2"/>
        <v>115.57459971733327</v>
      </c>
      <c r="C25" s="449">
        <f t="shared" ca="1" si="3"/>
        <v>0</v>
      </c>
      <c r="D25" s="449">
        <f t="shared" si="4"/>
        <v>10.095447765774001</v>
      </c>
      <c r="E25" s="449">
        <f t="shared" si="5"/>
        <v>4.7431021796612418</v>
      </c>
      <c r="F25" s="449">
        <f t="shared" si="6"/>
        <v>485.34711607109426</v>
      </c>
      <c r="G25" s="449">
        <f t="shared" si="7"/>
        <v>0</v>
      </c>
      <c r="H25" s="449">
        <f t="shared" si="8"/>
        <v>0</v>
      </c>
      <c r="I25" s="449">
        <f t="shared" si="9"/>
        <v>0</v>
      </c>
      <c r="J25" s="449">
        <f t="shared" si="10"/>
        <v>52.065417511834688</v>
      </c>
      <c r="K25" s="449">
        <f t="shared" si="11"/>
        <v>0</v>
      </c>
      <c r="L25" s="449">
        <f t="shared" si="12"/>
        <v>0</v>
      </c>
      <c r="M25" s="449">
        <f t="shared" si="13"/>
        <v>0</v>
      </c>
      <c r="N25" s="449">
        <f t="shared" si="14"/>
        <v>0</v>
      </c>
      <c r="O25" s="449">
        <f t="shared" si="15"/>
        <v>0</v>
      </c>
      <c r="P25" s="450">
        <f t="shared" si="16"/>
        <v>0</v>
      </c>
      <c r="Q25" s="448">
        <f t="shared" ca="1" si="17"/>
        <v>667.82568324569741</v>
      </c>
    </row>
    <row r="26" spans="1:17">
      <c r="A26" s="448" t="s">
        <v>618</v>
      </c>
      <c r="B26" s="449">
        <f t="shared" ca="1" si="2"/>
        <v>9487.1386492281235</v>
      </c>
      <c r="C26" s="449">
        <f t="shared" ca="1" si="3"/>
        <v>0</v>
      </c>
      <c r="D26" s="449">
        <f t="shared" si="4"/>
        <v>7000.8908633674509</v>
      </c>
      <c r="E26" s="449">
        <f t="shared" si="5"/>
        <v>87.267670340124795</v>
      </c>
      <c r="F26" s="449">
        <f t="shared" si="6"/>
        <v>4637.1828848128525</v>
      </c>
      <c r="G26" s="449">
        <f t="shared" si="7"/>
        <v>0</v>
      </c>
      <c r="H26" s="449">
        <f t="shared" si="8"/>
        <v>0</v>
      </c>
      <c r="I26" s="449">
        <f t="shared" si="9"/>
        <v>0</v>
      </c>
      <c r="J26" s="449">
        <f t="shared" si="10"/>
        <v>1.4795034522744273</v>
      </c>
      <c r="K26" s="449">
        <f t="shared" si="11"/>
        <v>0</v>
      </c>
      <c r="L26" s="449">
        <f t="shared" si="12"/>
        <v>0</v>
      </c>
      <c r="M26" s="449">
        <f t="shared" si="13"/>
        <v>0</v>
      </c>
      <c r="N26" s="449">
        <f t="shared" si="14"/>
        <v>0</v>
      </c>
      <c r="O26" s="449">
        <f t="shared" si="15"/>
        <v>0</v>
      </c>
      <c r="P26" s="450">
        <f t="shared" si="16"/>
        <v>0</v>
      </c>
      <c r="Q26" s="448">
        <f t="shared" ca="1" si="17"/>
        <v>21213.959571200827</v>
      </c>
    </row>
    <row r="27" spans="1:17" s="454" customFormat="1">
      <c r="A27" s="452" t="s">
        <v>544</v>
      </c>
      <c r="B27" s="771">
        <f t="shared" ca="1" si="2"/>
        <v>73.566598255642802</v>
      </c>
      <c r="C27" s="453">
        <f t="shared" ca="1" si="3"/>
        <v>0</v>
      </c>
      <c r="D27" s="453">
        <f t="shared" si="4"/>
        <v>109.52458187290809</v>
      </c>
      <c r="E27" s="453">
        <f t="shared" si="5"/>
        <v>77.810583898907595</v>
      </c>
      <c r="F27" s="453">
        <f t="shared" si="6"/>
        <v>0</v>
      </c>
      <c r="G27" s="453">
        <f t="shared" si="7"/>
        <v>48134.065782520396</v>
      </c>
      <c r="H27" s="453">
        <f t="shared" si="8"/>
        <v>8472.6267413119058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56867.594287859763</v>
      </c>
    </row>
    <row r="28" spans="1:17" ht="16.5" customHeight="1">
      <c r="A28" s="448" t="s">
        <v>534</v>
      </c>
      <c r="B28" s="449">
        <f t="shared" ca="1" si="2"/>
        <v>2.5491756024253722</v>
      </c>
      <c r="C28" s="449">
        <f t="shared" ca="1" si="3"/>
        <v>0</v>
      </c>
      <c r="D28" s="449">
        <f t="shared" si="4"/>
        <v>0</v>
      </c>
      <c r="E28" s="449">
        <f t="shared" si="5"/>
        <v>0</v>
      </c>
      <c r="F28" s="449">
        <f t="shared" si="6"/>
        <v>0</v>
      </c>
      <c r="G28" s="449">
        <f t="shared" si="7"/>
        <v>235.51729760200192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238.0664732044273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91.626891951490208</v>
      </c>
      <c r="C32" s="449">
        <f t="shared" ca="1" si="3"/>
        <v>0</v>
      </c>
      <c r="D32" s="449">
        <f t="shared" si="4"/>
        <v>278.20992315873553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369.83681511022576</v>
      </c>
    </row>
    <row r="33" spans="1:17" s="460" customFormat="1">
      <c r="A33" s="458" t="s">
        <v>538</v>
      </c>
      <c r="B33" s="459">
        <f ca="1">SUM(B22:B32)</f>
        <v>19207.695680266534</v>
      </c>
      <c r="C33" s="459">
        <f t="shared" ref="C33:Q33" ca="1" si="19">SUM(C22:C32)</f>
        <v>0</v>
      </c>
      <c r="D33" s="459">
        <f t="shared" ca="1" si="19"/>
        <v>20604.570294331119</v>
      </c>
      <c r="E33" s="459">
        <f t="shared" si="19"/>
        <v>424.41186861279357</v>
      </c>
      <c r="F33" s="459">
        <f t="shared" ca="1" si="19"/>
        <v>12658.709925287763</v>
      </c>
      <c r="G33" s="459">
        <f t="shared" si="19"/>
        <v>48369.5830801224</v>
      </c>
      <c r="H33" s="459">
        <f t="shared" si="19"/>
        <v>8472.6267413119058</v>
      </c>
      <c r="I33" s="459">
        <f t="shared" si="19"/>
        <v>0</v>
      </c>
      <c r="J33" s="459">
        <f t="shared" si="19"/>
        <v>94.228352563610912</v>
      </c>
      <c r="K33" s="459">
        <f t="shared" si="19"/>
        <v>0</v>
      </c>
      <c r="L33" s="459">
        <f t="shared" ca="1" si="19"/>
        <v>0</v>
      </c>
      <c r="M33" s="459">
        <f t="shared" si="19"/>
        <v>0</v>
      </c>
      <c r="N33" s="459">
        <f t="shared" ca="1" si="19"/>
        <v>0</v>
      </c>
      <c r="O33" s="459">
        <f t="shared" si="19"/>
        <v>0</v>
      </c>
      <c r="P33" s="459">
        <f t="shared" si="19"/>
        <v>0</v>
      </c>
      <c r="Q33" s="459">
        <f t="shared" ca="1" si="19"/>
        <v>109831.82594249613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6202.7440447107756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6202.7440447107756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0.20627841238359892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0.20627841238359892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0.20627841238359892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0.20627841238359892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766.57</v>
      </c>
      <c r="C14" s="326"/>
      <c r="D14" s="326"/>
      <c r="E14" s="326"/>
      <c r="F14" s="326"/>
    </row>
    <row r="15" spans="1:6">
      <c r="A15" s="1307" t="s">
        <v>183</v>
      </c>
      <c r="B15" s="1308">
        <v>295</v>
      </c>
      <c r="C15" s="326"/>
      <c r="D15" s="326"/>
      <c r="E15" s="326"/>
      <c r="F15" s="326"/>
    </row>
    <row r="16" spans="1:6">
      <c r="A16" s="1307" t="s">
        <v>6</v>
      </c>
      <c r="B16" s="1308">
        <v>731</v>
      </c>
      <c r="C16" s="326"/>
      <c r="D16" s="326"/>
      <c r="E16" s="326"/>
      <c r="F16" s="326"/>
    </row>
    <row r="17" spans="1:6">
      <c r="A17" s="1307" t="s">
        <v>7</v>
      </c>
      <c r="B17" s="1308">
        <v>4</v>
      </c>
      <c r="C17" s="326"/>
      <c r="D17" s="326"/>
      <c r="E17" s="326"/>
      <c r="F17" s="326"/>
    </row>
    <row r="18" spans="1:6">
      <c r="A18" s="1307" t="s">
        <v>8</v>
      </c>
      <c r="B18" s="1308">
        <v>357</v>
      </c>
      <c r="C18" s="326"/>
      <c r="D18" s="326"/>
      <c r="E18" s="326"/>
      <c r="F18" s="326"/>
    </row>
    <row r="19" spans="1:6">
      <c r="A19" s="1307" t="s">
        <v>9</v>
      </c>
      <c r="B19" s="1308">
        <v>356</v>
      </c>
      <c r="C19" s="326"/>
      <c r="D19" s="326"/>
      <c r="E19" s="326"/>
      <c r="F19" s="326"/>
    </row>
    <row r="20" spans="1:6">
      <c r="A20" s="1307" t="s">
        <v>10</v>
      </c>
      <c r="B20" s="1308">
        <v>206</v>
      </c>
      <c r="C20" s="326"/>
      <c r="D20" s="326"/>
      <c r="E20" s="326"/>
      <c r="F20" s="326"/>
    </row>
    <row r="21" spans="1:6">
      <c r="A21" s="1307" t="s">
        <v>11</v>
      </c>
      <c r="B21" s="1308">
        <v>923</v>
      </c>
      <c r="C21" s="326"/>
      <c r="D21" s="326"/>
      <c r="E21" s="326"/>
      <c r="F21" s="326"/>
    </row>
    <row r="22" spans="1:6">
      <c r="A22" s="1307" t="s">
        <v>12</v>
      </c>
      <c r="B22" s="1308">
        <v>3468</v>
      </c>
      <c r="C22" s="326"/>
      <c r="D22" s="326"/>
      <c r="E22" s="326"/>
      <c r="F22" s="326"/>
    </row>
    <row r="23" spans="1:6">
      <c r="A23" s="1307" t="s">
        <v>13</v>
      </c>
      <c r="B23" s="1308">
        <v>12</v>
      </c>
      <c r="C23" s="326"/>
      <c r="D23" s="326"/>
      <c r="E23" s="326"/>
      <c r="F23" s="326"/>
    </row>
    <row r="24" spans="1:6">
      <c r="A24" s="1307" t="s">
        <v>14</v>
      </c>
      <c r="B24" s="1308">
        <v>2</v>
      </c>
      <c r="C24" s="326"/>
      <c r="D24" s="326"/>
      <c r="E24" s="326"/>
      <c r="F24" s="326"/>
    </row>
    <row r="25" spans="1:6">
      <c r="A25" s="1307" t="s">
        <v>15</v>
      </c>
      <c r="B25" s="1308">
        <v>173</v>
      </c>
      <c r="C25" s="326"/>
      <c r="D25" s="326"/>
      <c r="E25" s="326"/>
      <c r="F25" s="326"/>
    </row>
    <row r="26" spans="1:6">
      <c r="A26" s="1307" t="s">
        <v>16</v>
      </c>
      <c r="B26" s="1308">
        <v>32</v>
      </c>
      <c r="C26" s="326"/>
      <c r="D26" s="326"/>
      <c r="E26" s="326"/>
      <c r="F26" s="326"/>
    </row>
    <row r="27" spans="1:6">
      <c r="A27" s="1307" t="s">
        <v>17</v>
      </c>
      <c r="B27" s="1308">
        <v>2</v>
      </c>
      <c r="C27" s="326"/>
      <c r="D27" s="326"/>
      <c r="E27" s="326"/>
      <c r="F27" s="326"/>
    </row>
    <row r="28" spans="1:6" s="43" customFormat="1">
      <c r="A28" s="1309" t="s">
        <v>18</v>
      </c>
      <c r="B28" s="1310">
        <v>10</v>
      </c>
      <c r="C28" s="332"/>
      <c r="D28" s="332"/>
      <c r="E28" s="332"/>
      <c r="F28" s="332"/>
    </row>
    <row r="29" spans="1:6">
      <c r="A29" s="1309" t="s">
        <v>688</v>
      </c>
      <c r="B29" s="1310">
        <v>273</v>
      </c>
      <c r="C29" s="332"/>
      <c r="D29" s="332"/>
      <c r="E29" s="332"/>
      <c r="F29" s="332"/>
    </row>
    <row r="30" spans="1:6">
      <c r="A30" s="1302" t="s">
        <v>689</v>
      </c>
      <c r="B30" s="1311">
        <v>63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65405.612381357801</v>
      </c>
    </row>
    <row r="37" spans="1:6">
      <c r="A37" s="1307" t="s">
        <v>24</v>
      </c>
      <c r="B37" s="1307" t="s">
        <v>27</v>
      </c>
      <c r="C37" s="1308">
        <v>0</v>
      </c>
      <c r="D37" s="1308">
        <v>0</v>
      </c>
      <c r="E37" s="1308">
        <v>0</v>
      </c>
      <c r="F37" s="1308">
        <v>0</v>
      </c>
    </row>
    <row r="38" spans="1:6">
      <c r="A38" s="1307" t="s">
        <v>24</v>
      </c>
      <c r="B38" s="1307" t="s">
        <v>28</v>
      </c>
      <c r="C38" s="1308">
        <v>2</v>
      </c>
      <c r="D38" s="1308">
        <v>291320.30499999999</v>
      </c>
      <c r="E38" s="1308">
        <v>0</v>
      </c>
      <c r="F38" s="1308">
        <v>0</v>
      </c>
    </row>
    <row r="39" spans="1:6">
      <c r="A39" s="1307" t="s">
        <v>29</v>
      </c>
      <c r="B39" s="1307" t="s">
        <v>30</v>
      </c>
      <c r="C39" s="1308">
        <v>3154</v>
      </c>
      <c r="D39" s="1308">
        <v>55124480.990377136</v>
      </c>
      <c r="E39" s="1308">
        <v>4591</v>
      </c>
      <c r="F39" s="1308">
        <v>18246184.7053327</v>
      </c>
    </row>
    <row r="40" spans="1:6">
      <c r="A40" s="1307" t="s">
        <v>29</v>
      </c>
      <c r="B40" s="1307" t="s">
        <v>28</v>
      </c>
      <c r="C40" s="1308">
        <v>0</v>
      </c>
      <c r="D40" s="1308">
        <v>0</v>
      </c>
      <c r="E40" s="1308">
        <v>0</v>
      </c>
      <c r="F40" s="1308">
        <v>0</v>
      </c>
    </row>
    <row r="41" spans="1:6">
      <c r="A41" s="1307" t="s">
        <v>31</v>
      </c>
      <c r="B41" s="1307" t="s">
        <v>32</v>
      </c>
      <c r="C41" s="1308">
        <v>46</v>
      </c>
      <c r="D41" s="1308">
        <v>13582036.569</v>
      </c>
      <c r="E41" s="1308">
        <v>104</v>
      </c>
      <c r="F41" s="1308">
        <v>27460710.5548135</v>
      </c>
    </row>
    <row r="42" spans="1:6">
      <c r="A42" s="1307" t="s">
        <v>31</v>
      </c>
      <c r="B42" s="1307" t="s">
        <v>33</v>
      </c>
      <c r="C42" s="1308">
        <v>3</v>
      </c>
      <c r="D42" s="1308">
        <v>10278360.784</v>
      </c>
      <c r="E42" s="1308">
        <v>4</v>
      </c>
      <c r="F42" s="1308">
        <v>4145314.0593003999</v>
      </c>
    </row>
    <row r="43" spans="1:6">
      <c r="A43" s="1307" t="s">
        <v>31</v>
      </c>
      <c r="B43" s="1307" t="s">
        <v>34</v>
      </c>
      <c r="C43" s="1308">
        <v>0</v>
      </c>
      <c r="D43" s="1308">
        <v>0</v>
      </c>
      <c r="E43" s="1308">
        <v>0</v>
      </c>
      <c r="F43" s="1308">
        <v>0</v>
      </c>
    </row>
    <row r="44" spans="1:6">
      <c r="A44" s="1307" t="s">
        <v>31</v>
      </c>
      <c r="B44" s="1307" t="s">
        <v>35</v>
      </c>
      <c r="C44" s="1308">
        <v>10</v>
      </c>
      <c r="D44" s="1308">
        <v>2103710.06</v>
      </c>
      <c r="E44" s="1308">
        <v>19</v>
      </c>
      <c r="F44" s="1308">
        <v>3674484.1074356502</v>
      </c>
    </row>
    <row r="45" spans="1:6">
      <c r="A45" s="1307" t="s">
        <v>31</v>
      </c>
      <c r="B45" s="1307" t="s">
        <v>36</v>
      </c>
      <c r="C45" s="1308">
        <v>0</v>
      </c>
      <c r="D45" s="1308">
        <v>0</v>
      </c>
      <c r="E45" s="1308">
        <v>10</v>
      </c>
      <c r="F45" s="1308">
        <v>3360956.1210403801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6</v>
      </c>
      <c r="D48" s="1308">
        <v>10374780.661</v>
      </c>
      <c r="E48" s="1308">
        <v>4</v>
      </c>
      <c r="F48" s="1308">
        <v>451441.52350855398</v>
      </c>
    </row>
    <row r="49" spans="1:6">
      <c r="A49" s="1307" t="s">
        <v>31</v>
      </c>
      <c r="B49" s="1307" t="s">
        <v>39</v>
      </c>
      <c r="C49" s="1308">
        <v>0</v>
      </c>
      <c r="D49" s="1308">
        <v>0</v>
      </c>
      <c r="E49" s="1308">
        <v>0</v>
      </c>
      <c r="F49" s="1308">
        <v>0</v>
      </c>
    </row>
    <row r="50" spans="1:6">
      <c r="A50" s="1307" t="s">
        <v>31</v>
      </c>
      <c r="B50" s="1307" t="s">
        <v>40</v>
      </c>
      <c r="C50" s="1308">
        <v>11</v>
      </c>
      <c r="D50" s="1308">
        <v>2041926.5009999999</v>
      </c>
      <c r="E50" s="1308">
        <v>13</v>
      </c>
      <c r="F50" s="1308">
        <v>6899005.9217742505</v>
      </c>
    </row>
    <row r="51" spans="1:6">
      <c r="A51" s="1307" t="s">
        <v>41</v>
      </c>
      <c r="B51" s="1307" t="s">
        <v>42</v>
      </c>
      <c r="C51" s="1308">
        <v>3</v>
      </c>
      <c r="D51" s="1308">
        <v>55346.029000000002</v>
      </c>
      <c r="E51" s="1308">
        <v>31</v>
      </c>
      <c r="F51" s="1308">
        <v>560284.51247922506</v>
      </c>
    </row>
    <row r="52" spans="1:6">
      <c r="A52" s="1307" t="s">
        <v>41</v>
      </c>
      <c r="B52" s="1307" t="s">
        <v>28</v>
      </c>
      <c r="C52" s="1308">
        <v>0</v>
      </c>
      <c r="D52" s="1308">
        <v>0</v>
      </c>
      <c r="E52" s="1308">
        <v>0</v>
      </c>
      <c r="F52" s="1308">
        <v>0</v>
      </c>
    </row>
    <row r="53" spans="1:6">
      <c r="A53" s="1307" t="s">
        <v>43</v>
      </c>
      <c r="B53" s="1307" t="s">
        <v>44</v>
      </c>
      <c r="C53" s="1308">
        <v>40</v>
      </c>
      <c r="D53" s="1308">
        <v>1377276.8473204728</v>
      </c>
      <c r="E53" s="1308">
        <v>131</v>
      </c>
      <c r="F53" s="1308">
        <v>444190.40699760302</v>
      </c>
    </row>
    <row r="54" spans="1:6">
      <c r="A54" s="1307" t="s">
        <v>45</v>
      </c>
      <c r="B54" s="1307" t="s">
        <v>46</v>
      </c>
      <c r="C54" s="1308">
        <v>0</v>
      </c>
      <c r="D54" s="1308">
        <v>0</v>
      </c>
      <c r="E54" s="1308">
        <v>1</v>
      </c>
      <c r="F54" s="1308">
        <v>563842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2340376.3160000001</v>
      </c>
      <c r="E57" s="1308">
        <v>54</v>
      </c>
      <c r="F57" s="1308">
        <v>6089301.0909145297</v>
      </c>
    </row>
    <row r="58" spans="1:6">
      <c r="A58" s="1307" t="s">
        <v>48</v>
      </c>
      <c r="B58" s="1307" t="s">
        <v>50</v>
      </c>
      <c r="C58" s="1308">
        <v>27</v>
      </c>
      <c r="D58" s="1308">
        <v>1856211.298</v>
      </c>
      <c r="E58" s="1308">
        <v>28</v>
      </c>
      <c r="F58" s="1308">
        <v>585901.28180985199</v>
      </c>
    </row>
    <row r="59" spans="1:6">
      <c r="A59" s="1307" t="s">
        <v>48</v>
      </c>
      <c r="B59" s="1307" t="s">
        <v>51</v>
      </c>
      <c r="C59" s="1308">
        <v>81</v>
      </c>
      <c r="D59" s="1308">
        <v>6100607.1160000004</v>
      </c>
      <c r="E59" s="1308">
        <v>149</v>
      </c>
      <c r="F59" s="1308">
        <v>6077596.2035995796</v>
      </c>
    </row>
    <row r="60" spans="1:6">
      <c r="A60" s="1307" t="s">
        <v>48</v>
      </c>
      <c r="B60" s="1307" t="s">
        <v>52</v>
      </c>
      <c r="C60" s="1308">
        <v>49</v>
      </c>
      <c r="D60" s="1308">
        <v>2922103.389</v>
      </c>
      <c r="E60" s="1308">
        <v>69</v>
      </c>
      <c r="F60" s="1308">
        <v>1975816.5021148601</v>
      </c>
    </row>
    <row r="61" spans="1:6">
      <c r="A61" s="1307" t="s">
        <v>48</v>
      </c>
      <c r="B61" s="1307" t="s">
        <v>53</v>
      </c>
      <c r="C61" s="1308">
        <v>115</v>
      </c>
      <c r="D61" s="1308">
        <v>4024537.5269999998</v>
      </c>
      <c r="E61" s="1308">
        <v>250</v>
      </c>
      <c r="F61" s="1308">
        <v>8926274.4488233496</v>
      </c>
    </row>
    <row r="62" spans="1:6">
      <c r="A62" s="1307" t="s">
        <v>48</v>
      </c>
      <c r="B62" s="1307" t="s">
        <v>54</v>
      </c>
      <c r="C62" s="1308">
        <v>0</v>
      </c>
      <c r="D62" s="1308">
        <v>0</v>
      </c>
      <c r="E62" s="1308">
        <v>4</v>
      </c>
      <c r="F62" s="1308">
        <v>33133.196465277601</v>
      </c>
    </row>
    <row r="63" spans="1:6">
      <c r="A63" s="1307" t="s">
        <v>48</v>
      </c>
      <c r="B63" s="1307" t="s">
        <v>28</v>
      </c>
      <c r="C63" s="1308">
        <v>1</v>
      </c>
      <c r="D63" s="1308">
        <v>29792.406999999999</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38737.252942592</v>
      </c>
    </row>
    <row r="66" spans="1:6">
      <c r="A66" s="1307" t="s">
        <v>55</v>
      </c>
      <c r="B66" s="1307" t="s">
        <v>57</v>
      </c>
      <c r="C66" s="1308">
        <v>0</v>
      </c>
      <c r="D66" s="1308">
        <v>0</v>
      </c>
      <c r="E66" s="1308">
        <v>9</v>
      </c>
      <c r="F66" s="1308">
        <v>273609.44464231498</v>
      </c>
    </row>
    <row r="67" spans="1:6">
      <c r="A67" s="1309" t="s">
        <v>55</v>
      </c>
      <c r="B67" s="1309" t="s">
        <v>58</v>
      </c>
      <c r="C67" s="1308">
        <v>0</v>
      </c>
      <c r="D67" s="1308">
        <v>0</v>
      </c>
      <c r="E67" s="1308">
        <v>0</v>
      </c>
      <c r="F67" s="1308">
        <v>0</v>
      </c>
    </row>
    <row r="68" spans="1:6">
      <c r="A68" s="1302" t="s">
        <v>55</v>
      </c>
      <c r="B68" s="1302" t="s">
        <v>59</v>
      </c>
      <c r="C68" s="1311">
        <v>4</v>
      </c>
      <c r="D68" s="1311">
        <v>82874.319000000003</v>
      </c>
      <c r="E68" s="1311">
        <v>11</v>
      </c>
      <c r="F68" s="1311">
        <v>1043036.1327674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70137340</v>
      </c>
      <c r="E73" s="447"/>
      <c r="F73" s="326"/>
    </row>
    <row r="74" spans="1:6">
      <c r="A74" s="1307" t="s">
        <v>63</v>
      </c>
      <c r="B74" s="1307" t="s">
        <v>639</v>
      </c>
      <c r="C74" s="1321" t="s">
        <v>641</v>
      </c>
      <c r="D74" s="1322">
        <v>4058368.5982210082</v>
      </c>
      <c r="E74" s="447"/>
      <c r="F74" s="326"/>
    </row>
    <row r="75" spans="1:6">
      <c r="A75" s="1307" t="s">
        <v>64</v>
      </c>
      <c r="B75" s="1307" t="s">
        <v>638</v>
      </c>
      <c r="C75" s="1321" t="s">
        <v>642</v>
      </c>
      <c r="D75" s="1322">
        <v>6421368</v>
      </c>
      <c r="E75" s="447"/>
      <c r="F75" s="326"/>
    </row>
    <row r="76" spans="1:6">
      <c r="A76" s="1307" t="s">
        <v>64</v>
      </c>
      <c r="B76" s="1307" t="s">
        <v>639</v>
      </c>
      <c r="C76" s="1321" t="s">
        <v>643</v>
      </c>
      <c r="D76" s="1322">
        <v>179271.598221008</v>
      </c>
      <c r="E76" s="447"/>
      <c r="F76" s="326"/>
    </row>
    <row r="77" spans="1:6">
      <c r="A77" s="1307" t="s">
        <v>65</v>
      </c>
      <c r="B77" s="1307" t="s">
        <v>638</v>
      </c>
      <c r="C77" s="1321" t="s">
        <v>644</v>
      </c>
      <c r="D77" s="1322">
        <v>143210569</v>
      </c>
      <c r="E77" s="447"/>
      <c r="F77" s="326"/>
    </row>
    <row r="78" spans="1:6">
      <c r="A78" s="1302" t="s">
        <v>65</v>
      </c>
      <c r="B78" s="1302" t="s">
        <v>639</v>
      </c>
      <c r="C78" s="1302" t="s">
        <v>645</v>
      </c>
      <c r="D78" s="1323">
        <v>28878298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261208.80355798401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3251.9622006680497</v>
      </c>
      <c r="C91" s="326"/>
      <c r="D91" s="326"/>
      <c r="E91" s="326"/>
      <c r="F91" s="326"/>
    </row>
    <row r="92" spans="1:6">
      <c r="A92" s="1302" t="s">
        <v>68</v>
      </c>
      <c r="B92" s="1303">
        <v>2950.7818440427259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1931</v>
      </c>
      <c r="C97" s="326"/>
      <c r="D97" s="326"/>
      <c r="E97" s="326"/>
      <c r="F97" s="326"/>
    </row>
    <row r="98" spans="1:6">
      <c r="A98" s="1307" t="s">
        <v>71</v>
      </c>
      <c r="B98" s="1308">
        <v>5</v>
      </c>
      <c r="C98" s="326"/>
      <c r="D98" s="326"/>
      <c r="E98" s="326"/>
      <c r="F98" s="326"/>
    </row>
    <row r="99" spans="1:6">
      <c r="A99" s="1307" t="s">
        <v>72</v>
      </c>
      <c r="B99" s="1308">
        <v>68</v>
      </c>
      <c r="C99" s="326"/>
      <c r="D99" s="326"/>
      <c r="E99" s="326"/>
      <c r="F99" s="326"/>
    </row>
    <row r="100" spans="1:6">
      <c r="A100" s="1307" t="s">
        <v>73</v>
      </c>
      <c r="B100" s="1308">
        <v>364</v>
      </c>
      <c r="C100" s="326"/>
      <c r="D100" s="326"/>
      <c r="E100" s="326"/>
      <c r="F100" s="326"/>
    </row>
    <row r="101" spans="1:6">
      <c r="A101" s="1307" t="s">
        <v>74</v>
      </c>
      <c r="B101" s="1308">
        <v>85</v>
      </c>
      <c r="C101" s="326"/>
      <c r="D101" s="326"/>
      <c r="E101" s="326"/>
      <c r="F101" s="326"/>
    </row>
    <row r="102" spans="1:6">
      <c r="A102" s="1307" t="s">
        <v>75</v>
      </c>
      <c r="B102" s="1308">
        <v>45</v>
      </c>
      <c r="C102" s="326"/>
      <c r="D102" s="326"/>
      <c r="E102" s="326"/>
      <c r="F102" s="326"/>
    </row>
    <row r="103" spans="1:6">
      <c r="A103" s="1307" t="s">
        <v>76</v>
      </c>
      <c r="B103" s="1308">
        <v>135</v>
      </c>
      <c r="C103" s="326"/>
      <c r="D103" s="326"/>
      <c r="E103" s="326"/>
      <c r="F103" s="326"/>
    </row>
    <row r="104" spans="1:6">
      <c r="A104" s="1307" t="s">
        <v>77</v>
      </c>
      <c r="B104" s="1308">
        <v>1349</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28</v>
      </c>
      <c r="C123" s="1308">
        <v>16</v>
      </c>
      <c r="D123" s="326"/>
      <c r="E123" s="326"/>
      <c r="F123" s="326"/>
    </row>
    <row r="124" spans="1:6" s="43" customFormat="1">
      <c r="A124" s="1309" t="s">
        <v>88</v>
      </c>
      <c r="B124" s="1330">
        <v>4</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82</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93115.394181663418</v>
      </c>
      <c r="C3" s="43" t="s">
        <v>169</v>
      </c>
      <c r="D3" s="43"/>
      <c r="E3" s="154"/>
      <c r="F3" s="43"/>
      <c r="G3" s="43"/>
      <c r="H3" s="43"/>
      <c r="I3" s="43"/>
      <c r="J3" s="43"/>
      <c r="K3" s="96"/>
    </row>
    <row r="4" spans="1:11">
      <c r="A4" s="354" t="s">
        <v>170</v>
      </c>
      <c r="B4" s="49">
        <f>IF(ISERROR('SEAP template'!B78+'SEAP template'!C78),0,'SEAP template'!B78+'SEAP template'!C78)</f>
        <v>6202.7440447107756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0.20627841238359892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563.84199999999998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563.84199999999998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0.20627841238359892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116.30843259519318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18246.1847053327</v>
      </c>
      <c r="C5" s="17">
        <f>IF(ISERROR('Eigen informatie GS &amp; warmtenet'!B59),0,'Eigen informatie GS &amp; warmtenet'!B59)</f>
        <v>0</v>
      </c>
      <c r="D5" s="30">
        <f>(SUM(HH_hh_gas_kWh,HH_rest_gas_kWh)/1000)*0.903</f>
        <v>49777.406334310559</v>
      </c>
      <c r="E5" s="17">
        <f>B32*B41</f>
        <v>1010.8339220377649</v>
      </c>
      <c r="F5" s="17">
        <f>B36*B45</f>
        <v>22959.96101723516</v>
      </c>
      <c r="G5" s="18"/>
      <c r="H5" s="17"/>
      <c r="I5" s="17"/>
      <c r="J5" s="17">
        <f>B35*B44+C35*C44</f>
        <v>114.86481117903962</v>
      </c>
      <c r="K5" s="17"/>
      <c r="L5" s="17"/>
      <c r="M5" s="17"/>
      <c r="N5" s="17">
        <f>B34*B43+C34*C43</f>
        <v>6283.228587502821</v>
      </c>
      <c r="O5" s="17">
        <f>B52*B53*B54</f>
        <v>194.42790549992912</v>
      </c>
      <c r="P5" s="17">
        <f>B60*B61*B62/1000-B60*B61*B62/1000/B63</f>
        <v>568.83380261499121</v>
      </c>
    </row>
    <row r="6" spans="1:16">
      <c r="A6" s="16" t="s">
        <v>604</v>
      </c>
      <c r="B6" s="779">
        <f>kWh_PV_kleiner_dan_10kW</f>
        <v>3251.9622006680497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21498.146906000751</v>
      </c>
      <c r="C8" s="21">
        <f>C5</f>
        <v>0</v>
      </c>
      <c r="D8" s="21">
        <f>D5</f>
        <v>49777.406334310559</v>
      </c>
      <c r="E8" s="21">
        <f>E5</f>
        <v>1010.8339220377649</v>
      </c>
      <c r="F8" s="21">
        <f>F5</f>
        <v>22959.96101723516</v>
      </c>
      <c r="G8" s="21"/>
      <c r="H8" s="21"/>
      <c r="I8" s="21"/>
      <c r="J8" s="21">
        <f>J5</f>
        <v>114.86481117903962</v>
      </c>
      <c r="K8" s="21"/>
      <c r="L8" s="21">
        <f>L5</f>
        <v>0</v>
      </c>
      <c r="M8" s="21">
        <f>M5</f>
        <v>0</v>
      </c>
      <c r="N8" s="21">
        <f>N5</f>
        <v>6283.228587502821</v>
      </c>
      <c r="O8" s="21">
        <f>O5</f>
        <v>194.42790549992912</v>
      </c>
      <c r="P8" s="21">
        <f>P5</f>
        <v>568.83380261499121</v>
      </c>
    </row>
    <row r="9" spans="1:16">
      <c r="B9" s="19"/>
      <c r="C9" s="19"/>
      <c r="D9" s="254"/>
      <c r="E9" s="19"/>
      <c r="F9" s="19"/>
      <c r="G9" s="19"/>
      <c r="H9" s="19"/>
      <c r="I9" s="19"/>
      <c r="J9" s="19"/>
      <c r="K9" s="19"/>
      <c r="L9" s="19"/>
      <c r="M9" s="19"/>
      <c r="N9" s="19"/>
      <c r="O9" s="19"/>
      <c r="P9" s="19"/>
    </row>
    <row r="10" spans="1:16">
      <c r="A10" s="24" t="s">
        <v>213</v>
      </c>
      <c r="B10" s="25">
        <f ca="1">'EF ele_warmte'!B12</f>
        <v>0.20627841238359892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4434.6036129592139</v>
      </c>
      <c r="C12" s="23">
        <f ca="1">C10*C8</f>
        <v>0</v>
      </c>
      <c r="D12" s="23">
        <f>D8*D10</f>
        <v>10055.036079530733</v>
      </c>
      <c r="E12" s="23">
        <f>E10*E8</f>
        <v>229.45930030257264</v>
      </c>
      <c r="F12" s="23">
        <f>F10*F8</f>
        <v>6130.3095916017883</v>
      </c>
      <c r="G12" s="23"/>
      <c r="H12" s="23"/>
      <c r="I12" s="23"/>
      <c r="J12" s="23">
        <f>J10*J8</f>
        <v>40.662143157380022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4678</v>
      </c>
      <c r="C26" s="36"/>
      <c r="D26" s="225"/>
    </row>
    <row r="27" spans="1:5" s="15" customFormat="1">
      <c r="A27" s="227" t="s">
        <v>817</v>
      </c>
      <c r="B27" s="37">
        <f>SUM(HH_hh_gas_aantal,HH_rest_gas_aantal)</f>
        <v>3154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2996.3</v>
      </c>
      <c r="C31" s="34" t="s">
        <v>110</v>
      </c>
      <c r="D31" s="171"/>
    </row>
    <row r="32" spans="1:5">
      <c r="A32" s="168" t="s">
        <v>72</v>
      </c>
      <c r="B32" s="33">
        <f>IF((B21*($B$26-($B$27-0.05*$B$27)-$B$60))&lt;0,0,B21*($B$26-($B$27-0.05*$B$27)-$B$60))</f>
        <v>25.052515071094184</v>
      </c>
      <c r="C32" s="34" t="s">
        <v>110</v>
      </c>
      <c r="D32" s="171"/>
    </row>
    <row r="33" spans="1:6">
      <c r="A33" s="168" t="s">
        <v>73</v>
      </c>
      <c r="B33" s="33">
        <f>IF((B22*($B$26-($B$27-0.05*$B$27)-$B$60))&lt;0,0,B22*($B$26-($B$27-0.05*$B$27)-$B$60))</f>
        <v>406.80322770388005</v>
      </c>
      <c r="C33" s="34" t="s">
        <v>110</v>
      </c>
      <c r="D33" s="171"/>
    </row>
    <row r="34" spans="1:6">
      <c r="A34" s="168" t="s">
        <v>74</v>
      </c>
      <c r="B34" s="33">
        <f>IF((B24*($B$26-($B$27-0.05*$B$27)-$B$60))&lt;0,0,B24*($B$26-($B$27-0.05*$B$27)-$B$60))</f>
        <v>77.922412462735565</v>
      </c>
      <c r="C34" s="33">
        <f>B26*C24</f>
        <v>957.93230481619764</v>
      </c>
      <c r="D34" s="230"/>
    </row>
    <row r="35" spans="1:6">
      <c r="A35" s="168" t="s">
        <v>76</v>
      </c>
      <c r="B35" s="33">
        <f>IF((B19*($B$26-($B$27-0.05*$B$27)-$B$60))&lt;0,0,B19*($B$26-($B$27-0.05*$B$27)-$B$60))</f>
        <v>10.890268574573907</v>
      </c>
      <c r="C35" s="33">
        <f>B35/2</f>
        <v>5.4451342872869537</v>
      </c>
      <c r="D35" s="230"/>
    </row>
    <row r="36" spans="1:6">
      <c r="A36" s="168" t="s">
        <v>77</v>
      </c>
      <c r="B36" s="33">
        <f>IF((B18*($B$26-($B$27-0.05*$B$27)-$B$60))&lt;0,0,B18*($B$26-($B$27-0.05*$B$27)-$B$60))</f>
        <v>1107.0315761877157</v>
      </c>
      <c r="C36" s="34" t="s">
        <v>110</v>
      </c>
      <c r="D36" s="171"/>
    </row>
    <row r="37" spans="1:6">
      <c r="A37" s="168" t="s">
        <v>78</v>
      </c>
      <c r="B37" s="33">
        <f>B60</f>
        <v>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23688.022723727448</v>
      </c>
      <c r="C5" s="17">
        <f>IF(ISERROR('Eigen informatie GS &amp; warmtenet'!B60),0,'Eigen informatie GS &amp; warmtenet'!B60)</f>
        <v>0</v>
      </c>
      <c r="D5" s="30">
        <f>SUM(D6:D12)</f>
        <v>15598.086131859001</v>
      </c>
      <c r="E5" s="17">
        <f>SUM(E6:E12)</f>
        <v>110.71018454417339</v>
      </c>
      <c r="F5" s="17">
        <f>SUM(F6:F12)</f>
        <v>5265.431958060035</v>
      </c>
      <c r="G5" s="18"/>
      <c r="H5" s="17"/>
      <c r="I5" s="17"/>
      <c r="J5" s="17">
        <f>SUM(J6:J12)</f>
        <v>6.013684215189629E-2</v>
      </c>
      <c r="K5" s="17"/>
      <c r="L5" s="17"/>
      <c r="M5" s="17"/>
      <c r="N5" s="17">
        <f>SUM(N6:N12)</f>
        <v>2185.068560400654</v>
      </c>
      <c r="O5" s="17">
        <f>B38*B39*B40</f>
        <v>9.7945215316823084</v>
      </c>
      <c r="P5" s="17">
        <f>B46*B47*B48/1000-B46*B47*B48/1000/B49</f>
        <v>52.539138306495019</v>
      </c>
      <c r="R5" s="32"/>
    </row>
    <row r="6" spans="1:18">
      <c r="A6" s="32" t="s">
        <v>53</v>
      </c>
      <c r="B6" s="37">
        <f>B26</f>
        <v>8926.2744488233493</v>
      </c>
      <c r="C6" s="33"/>
      <c r="D6" s="37">
        <f>IF(ISERROR(TER_kantoor_gas_kWh/1000),0,TER_kantoor_gas_kWh/1000)*0.903</f>
        <v>3634.1573868810001</v>
      </c>
      <c r="E6" s="33">
        <f>$C$26*'E Balans VL '!I12/100/3.6*1000000</f>
        <v>2.1385231837950109</v>
      </c>
      <c r="F6" s="33">
        <f>$C$26*('E Balans VL '!L12+'E Balans VL '!N12)/100/3.6*1000000</f>
        <v>846.4681217925006</v>
      </c>
      <c r="G6" s="34"/>
      <c r="H6" s="33"/>
      <c r="I6" s="33"/>
      <c r="J6" s="33">
        <f>$C$26*('E Balans VL '!D12+'E Balans VL '!E12)/100/3.6*1000000</f>
        <v>0</v>
      </c>
      <c r="K6" s="33"/>
      <c r="L6" s="33"/>
      <c r="M6" s="33"/>
      <c r="N6" s="33">
        <f>$C$26*'E Balans VL '!Y12/100/3.6*1000000</f>
        <v>4.5340857200978153</v>
      </c>
      <c r="O6" s="33"/>
      <c r="P6" s="33"/>
      <c r="R6" s="32"/>
    </row>
    <row r="7" spans="1:18">
      <c r="A7" s="32" t="s">
        <v>52</v>
      </c>
      <c r="B7" s="37">
        <f t="shared" ref="B7:B12" si="0">B27</f>
        <v>1975.8165021148602</v>
      </c>
      <c r="C7" s="33"/>
      <c r="D7" s="37">
        <f>IF(ISERROR(TER_horeca_gas_kWh/1000),0,TER_horeca_gas_kWh/1000)*0.903</f>
        <v>2638.659360267</v>
      </c>
      <c r="E7" s="33">
        <f>$C$27*'E Balans VL '!I9/100/3.6*1000000</f>
        <v>0</v>
      </c>
      <c r="F7" s="33">
        <f>$C$27*('E Balans VL '!L9+'E Balans VL '!N9)/100/3.6*1000000</f>
        <v>162.0123086427115</v>
      </c>
      <c r="G7" s="34"/>
      <c r="H7" s="33"/>
      <c r="I7" s="33"/>
      <c r="J7" s="33">
        <f>$C$27*('E Balans VL '!D9+'E Balans VL '!E9)/100/3.6*1000000</f>
        <v>0</v>
      </c>
      <c r="K7" s="33"/>
      <c r="L7" s="33"/>
      <c r="M7" s="33"/>
      <c r="N7" s="33">
        <f>$C$27*'E Balans VL '!Y9/100/3.6*1000000</f>
        <v>0.60566714038384983</v>
      </c>
      <c r="O7" s="33"/>
      <c r="P7" s="33"/>
      <c r="R7" s="32"/>
    </row>
    <row r="8" spans="1:18">
      <c r="A8" s="6" t="s">
        <v>51</v>
      </c>
      <c r="B8" s="37">
        <f t="shared" si="0"/>
        <v>6077.5962035995799</v>
      </c>
      <c r="C8" s="33"/>
      <c r="D8" s="37">
        <f>IF(ISERROR(TER_handel_gas_kWh/1000),0,TER_handel_gas_kWh/1000)*0.903</f>
        <v>5508.848225748</v>
      </c>
      <c r="E8" s="33">
        <f>$C$28*'E Balans VL '!I13/100/3.6*1000000</f>
        <v>21.359428926592649</v>
      </c>
      <c r="F8" s="33">
        <f>$C$28*('E Balans VL '!L13+'E Balans VL '!N13)/100/3.6*1000000</f>
        <v>556.08913828517586</v>
      </c>
      <c r="G8" s="34"/>
      <c r="H8" s="33"/>
      <c r="I8" s="33"/>
      <c r="J8" s="33">
        <f>$C$28*('E Balans VL '!D13+'E Balans VL '!E13)/100/3.6*1000000</f>
        <v>0</v>
      </c>
      <c r="K8" s="33"/>
      <c r="L8" s="33"/>
      <c r="M8" s="33"/>
      <c r="N8" s="33">
        <f>$C$28*'E Balans VL '!Y13/100/3.6*1000000</f>
        <v>2.2010436946350351</v>
      </c>
      <c r="O8" s="33"/>
      <c r="P8" s="33"/>
      <c r="R8" s="32"/>
    </row>
    <row r="9" spans="1:18">
      <c r="A9" s="32" t="s">
        <v>50</v>
      </c>
      <c r="B9" s="37">
        <f t="shared" si="0"/>
        <v>585.90128180985198</v>
      </c>
      <c r="C9" s="33"/>
      <c r="D9" s="37">
        <f>IF(ISERROR(TER_gezond_gas_kWh/1000),0,TER_gezond_gas_kWh/1000)*0.903</f>
        <v>1676.1588020940001</v>
      </c>
      <c r="E9" s="33">
        <f>$C$29*'E Balans VL '!I10/100/3.6*1000000</f>
        <v>0</v>
      </c>
      <c r="F9" s="33">
        <f>$C$29*('E Balans VL '!L10+'E Balans VL '!N10)/100/3.6*1000000</f>
        <v>71.820738274952944</v>
      </c>
      <c r="G9" s="34"/>
      <c r="H9" s="33"/>
      <c r="I9" s="33"/>
      <c r="J9" s="33">
        <f>$C$29*('E Balans VL '!D10+'E Balans VL '!E10)/100/3.6*1000000</f>
        <v>0</v>
      </c>
      <c r="K9" s="33"/>
      <c r="L9" s="33"/>
      <c r="M9" s="33"/>
      <c r="N9" s="33">
        <f>$C$29*'E Balans VL '!Y10/100/3.6*1000000</f>
        <v>4.3206136652064044</v>
      </c>
      <c r="O9" s="33"/>
      <c r="P9" s="33"/>
      <c r="R9" s="32"/>
    </row>
    <row r="10" spans="1:18">
      <c r="A10" s="32" t="s">
        <v>49</v>
      </c>
      <c r="B10" s="37">
        <f t="shared" si="0"/>
        <v>6089.3010909145296</v>
      </c>
      <c r="C10" s="33"/>
      <c r="D10" s="37">
        <f>IF(ISERROR(TER_ander_gas_kWh/1000),0,TER_ander_gas_kWh/1000)*0.903</f>
        <v>2113.3598133480004</v>
      </c>
      <c r="E10" s="33">
        <f>$C$30*'E Balans VL '!I14/100/3.6*1000000</f>
        <v>87.212232433785729</v>
      </c>
      <c r="F10" s="33">
        <f>$C$30*('E Balans VL '!L14+'E Balans VL '!N14)/100/3.6*1000000</f>
        <v>3625.1679858341226</v>
      </c>
      <c r="G10" s="34"/>
      <c r="H10" s="33"/>
      <c r="I10" s="33"/>
      <c r="J10" s="33">
        <f>$C$30*('E Balans VL '!D14+'E Balans VL '!E14)/100/3.6*1000000</f>
        <v>6.013684215189629E-2</v>
      </c>
      <c r="K10" s="33"/>
      <c r="L10" s="33"/>
      <c r="M10" s="33"/>
      <c r="N10" s="33">
        <f>$C$30*'E Balans VL '!Y14/100/3.6*1000000</f>
        <v>2173.3138509038099</v>
      </c>
      <c r="O10" s="33"/>
      <c r="P10" s="33"/>
      <c r="R10" s="32"/>
    </row>
    <row r="11" spans="1:18">
      <c r="A11" s="32" t="s">
        <v>54</v>
      </c>
      <c r="B11" s="37">
        <f t="shared" si="0"/>
        <v>33.133196465277599</v>
      </c>
      <c r="C11" s="33"/>
      <c r="D11" s="37">
        <f>IF(ISERROR(TER_onderwijs_gas_kWh/1000),0,TER_onderwijs_gas_kWh/1000)*0.903</f>
        <v>0</v>
      </c>
      <c r="E11" s="33">
        <f>$C$31*'E Balans VL '!I11/100/3.6*1000000</f>
        <v>0</v>
      </c>
      <c r="F11" s="33">
        <f>$C$31*('E Balans VL '!L11+'E Balans VL '!N11)/100/3.6*1000000</f>
        <v>3.8736652305714578</v>
      </c>
      <c r="G11" s="34"/>
      <c r="H11" s="33"/>
      <c r="I11" s="33"/>
      <c r="J11" s="33">
        <f>$C$31*('E Balans VL '!D11+'E Balans VL '!E11)/100/3.6*1000000</f>
        <v>0</v>
      </c>
      <c r="K11" s="33"/>
      <c r="L11" s="33"/>
      <c r="M11" s="33"/>
      <c r="N11" s="33">
        <f>$C$31*'E Balans VL '!Y11/100/3.6*1000000</f>
        <v>9.3299276520938904E-2</v>
      </c>
      <c r="O11" s="33"/>
      <c r="P11" s="33"/>
      <c r="R11" s="32"/>
    </row>
    <row r="12" spans="1:18">
      <c r="A12" s="32" t="s">
        <v>255</v>
      </c>
      <c r="B12" s="37">
        <f t="shared" si="0"/>
        <v>0</v>
      </c>
      <c r="C12" s="33"/>
      <c r="D12" s="37">
        <f>IF(ISERROR(TER_rest_gas_kWh/1000),0,TER_rest_gas_kWh/1000)*0.903</f>
        <v>26.902543521000002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23688.022723727448</v>
      </c>
      <c r="C16" s="21">
        <f t="shared" ca="1" si="1"/>
        <v>0</v>
      </c>
      <c r="D16" s="21">
        <f t="shared" ca="1" si="1"/>
        <v>15598.086131859001</v>
      </c>
      <c r="E16" s="21">
        <f t="shared" si="1"/>
        <v>110.71018454417339</v>
      </c>
      <c r="F16" s="21">
        <f t="shared" ca="1" si="1"/>
        <v>5265.431958060035</v>
      </c>
      <c r="G16" s="21">
        <f t="shared" si="1"/>
        <v>0</v>
      </c>
      <c r="H16" s="21">
        <f t="shared" si="1"/>
        <v>0</v>
      </c>
      <c r="I16" s="21">
        <f t="shared" si="1"/>
        <v>0</v>
      </c>
      <c r="J16" s="21">
        <f t="shared" si="1"/>
        <v>6.013684215189629E-2</v>
      </c>
      <c r="K16" s="21">
        <f t="shared" si="1"/>
        <v>0</v>
      </c>
      <c r="L16" s="21">
        <f t="shared" ca="1" si="1"/>
        <v>0</v>
      </c>
      <c r="M16" s="21">
        <f t="shared" si="1"/>
        <v>0</v>
      </c>
      <c r="N16" s="21">
        <f t="shared" ca="1" si="1"/>
        <v>2185.068560400654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0.20627841238359892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4886.327719957113</v>
      </c>
      <c r="C20" s="23">
        <f t="shared" ref="C20:P20" ca="1" si="2">C16*C18</f>
        <v>0</v>
      </c>
      <c r="D20" s="23">
        <f t="shared" ca="1" si="2"/>
        <v>3150.8133986355183</v>
      </c>
      <c r="E20" s="23">
        <f t="shared" si="2"/>
        <v>25.131211891527361</v>
      </c>
      <c r="F20" s="23">
        <f t="shared" ca="1" si="2"/>
        <v>1405.8703328020295</v>
      </c>
      <c r="G20" s="23">
        <f t="shared" si="2"/>
        <v>0</v>
      </c>
      <c r="H20" s="23">
        <f t="shared" si="2"/>
        <v>0</v>
      </c>
      <c r="I20" s="23">
        <f t="shared" si="2"/>
        <v>0</v>
      </c>
      <c r="J20" s="23">
        <f t="shared" si="2"/>
        <v>2.1288442121771285E-2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8926.2744488233493</v>
      </c>
      <c r="C26" s="39">
        <f>IF(ISERROR(B26*3.6/1000000/'E Balans VL '!Z12*100),0,B26*3.6/1000000/'E Balans VL '!Z12*100)</f>
        <v>0.2517445774283536</v>
      </c>
      <c r="D26" s="233" t="s">
        <v>691</v>
      </c>
      <c r="F26" s="6"/>
    </row>
    <row r="27" spans="1:18">
      <c r="A27" s="228" t="s">
        <v>52</v>
      </c>
      <c r="B27" s="33">
        <f>IF(ISERROR(TER_horeca_ele_kWh/1000),0,TER_horeca_ele_kWh/1000)</f>
        <v>1975.8165021148602</v>
      </c>
      <c r="C27" s="39">
        <f>IF(ISERROR(B27*3.6/1000000/'E Balans VL '!Z9*100),0,B27*3.6/1000000/'E Balans VL '!Z9*100)</f>
        <v>0.14648252136382209</v>
      </c>
      <c r="D27" s="233" t="s">
        <v>691</v>
      </c>
      <c r="F27" s="6"/>
    </row>
    <row r="28" spans="1:18">
      <c r="A28" s="168" t="s">
        <v>51</v>
      </c>
      <c r="B28" s="33">
        <f>IF(ISERROR(TER_handel_ele_kWh/1000),0,TER_handel_ele_kWh/1000)</f>
        <v>6077.5962035995799</v>
      </c>
      <c r="C28" s="39">
        <f>IF(ISERROR(B28*3.6/1000000/'E Balans VL '!Z13*100),0,B28*3.6/1000000/'E Balans VL '!Z13*100)</f>
        <v>0.18207033223536612</v>
      </c>
      <c r="D28" s="233" t="s">
        <v>691</v>
      </c>
      <c r="F28" s="6"/>
    </row>
    <row r="29" spans="1:18">
      <c r="A29" s="228" t="s">
        <v>50</v>
      </c>
      <c r="B29" s="33">
        <f>IF(ISERROR(TER_gezond_ele_kWh/1000),0,TER_gezond_ele_kWh/1000)</f>
        <v>585.90128180985198</v>
      </c>
      <c r="C29" s="39">
        <f>IF(ISERROR(B29*3.6/1000000/'E Balans VL '!Z10*100),0,B29*3.6/1000000/'E Balans VL '!Z10*100)</f>
        <v>5.7934148388259332E-2</v>
      </c>
      <c r="D29" s="233" t="s">
        <v>691</v>
      </c>
      <c r="F29" s="6"/>
    </row>
    <row r="30" spans="1:18">
      <c r="A30" s="228" t="s">
        <v>49</v>
      </c>
      <c r="B30" s="33">
        <f>IF(ISERROR(TER_ander_ele_kWh/1000),0,TER_ander_ele_kWh/1000)</f>
        <v>6089.3010909145296</v>
      </c>
      <c r="C30" s="39">
        <f>IF(ISERROR(B30*3.6/1000000/'E Balans VL '!Z14*100),0,B30*3.6/1000000/'E Balans VL '!Z14*100)</f>
        <v>0.24629423406919981</v>
      </c>
      <c r="D30" s="233" t="s">
        <v>691</v>
      </c>
      <c r="F30" s="6"/>
    </row>
    <row r="31" spans="1:18">
      <c r="A31" s="228" t="s">
        <v>54</v>
      </c>
      <c r="B31" s="33">
        <f>IF(ISERROR(TER_onderwijs_ele_kWh/1000),0,TER_onderwijs_ele_kWh/1000)</f>
        <v>33.133196465277599</v>
      </c>
      <c r="C31" s="39">
        <f>IF(ISERROR(B31*3.6/1000000/'E Balans VL '!Z11*100),0,B31*3.6/1000000/'E Balans VL '!Z11*100)</f>
        <v>9.1031381372999563E-3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45991.912287872736</v>
      </c>
      <c r="C5" s="17">
        <f>IF(ISERROR('Eigen informatie GS &amp; warmtenet'!B61),0,'Eigen informatie GS &amp; warmtenet'!B61)</f>
        <v>0</v>
      </c>
      <c r="D5" s="30">
        <f>SUM(D6:D15)</f>
        <v>34657.875561225002</v>
      </c>
      <c r="E5" s="17">
        <f>SUM(E6:E15)</f>
        <v>384.43907638821497</v>
      </c>
      <c r="F5" s="17">
        <f>SUM(F6:F15)</f>
        <v>17367.72616034776</v>
      </c>
      <c r="G5" s="18"/>
      <c r="H5" s="17"/>
      <c r="I5" s="17"/>
      <c r="J5" s="17">
        <f>SUM(J6:J15)</f>
        <v>4.179388283261094</v>
      </c>
      <c r="K5" s="17"/>
      <c r="L5" s="17"/>
      <c r="M5" s="17"/>
      <c r="N5" s="17">
        <f>SUM(N6:N15)</f>
        <v>1999.4147652533836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3674.48410743565</v>
      </c>
      <c r="C8" s="33"/>
      <c r="D8" s="37">
        <f>IF( ISERROR(IND_metaal_Gas_kWH/1000),0,IND_metaal_Gas_kWH/1000)*0.903</f>
        <v>1899.65018418</v>
      </c>
      <c r="E8" s="33">
        <f>C30*'E Balans VL '!I18/100/3.6*1000000</f>
        <v>18.527389991200309</v>
      </c>
      <c r="F8" s="33">
        <f>C30*'E Balans VL '!L18/100/3.6*1000000+C30*'E Balans VL '!N18/100/3.6*1000000</f>
        <v>251.04826284832745</v>
      </c>
      <c r="G8" s="34"/>
      <c r="H8" s="33"/>
      <c r="I8" s="33"/>
      <c r="J8" s="40">
        <f>C30*'E Balans VL '!D18/100/3.6*1000000+C30*'E Balans VL '!E18/100/3.6*1000000</f>
        <v>3.2577435987739198</v>
      </c>
      <c r="K8" s="33"/>
      <c r="L8" s="33"/>
      <c r="M8" s="33"/>
      <c r="N8" s="33">
        <f>C30*'E Balans VL '!Y18/100/3.6*1000000</f>
        <v>48.833915594146006</v>
      </c>
      <c r="O8" s="33"/>
      <c r="P8" s="33"/>
      <c r="R8" s="32"/>
    </row>
    <row r="9" spans="1:18">
      <c r="A9" s="6" t="s">
        <v>32</v>
      </c>
      <c r="B9" s="37">
        <f t="shared" si="0"/>
        <v>27460.7105548135</v>
      </c>
      <c r="C9" s="33"/>
      <c r="D9" s="37">
        <f>IF( ISERROR(IND_andere_gas_kWh/1000),0,IND_andere_gas_kWh/1000)*0.903</f>
        <v>12264.579021807</v>
      </c>
      <c r="E9" s="33">
        <f>C31*'E Balans VL '!I19/100/3.6*1000000</f>
        <v>86.562649823876669</v>
      </c>
      <c r="F9" s="33">
        <f>C31*'E Balans VL '!L19/100/3.6*1000000+C31*'E Balans VL '!N19/100/3.6*1000000</f>
        <v>16810.292039556611</v>
      </c>
      <c r="G9" s="34"/>
      <c r="H9" s="33"/>
      <c r="I9" s="33"/>
      <c r="J9" s="40">
        <f>C31*'E Balans VL '!D19/100/3.6*1000000+C31*'E Balans VL '!E19/100/3.6*1000000</f>
        <v>0</v>
      </c>
      <c r="K9" s="33"/>
      <c r="L9" s="33"/>
      <c r="M9" s="33"/>
      <c r="N9" s="33">
        <f>C31*'E Balans VL '!Y19/100/3.6*1000000</f>
        <v>1151.4648802890486</v>
      </c>
      <c r="O9" s="33"/>
      <c r="P9" s="33"/>
      <c r="R9" s="32"/>
    </row>
    <row r="10" spans="1:18">
      <c r="A10" s="6" t="s">
        <v>40</v>
      </c>
      <c r="B10" s="37">
        <f t="shared" si="0"/>
        <v>6899.0059217742501</v>
      </c>
      <c r="C10" s="33"/>
      <c r="D10" s="37">
        <f>IF( ISERROR(IND_voed_gas_kWh/1000),0,IND_voed_gas_kWh/1000)*0.903</f>
        <v>1843.859630403</v>
      </c>
      <c r="E10" s="33">
        <f>C32*'E Balans VL '!I20/100/3.6*1000000</f>
        <v>10.995077900368781</v>
      </c>
      <c r="F10" s="33">
        <f>C32*'E Balans VL '!L20/100/3.6*1000000+C32*'E Balans VL '!N20/100/3.6*1000000</f>
        <v>112.09208664367955</v>
      </c>
      <c r="G10" s="34"/>
      <c r="H10" s="33"/>
      <c r="I10" s="33"/>
      <c r="J10" s="40">
        <f>C32*'E Balans VL '!D20/100/3.6*1000000+C32*'E Balans VL '!E20/100/3.6*1000000</f>
        <v>0</v>
      </c>
      <c r="K10" s="33"/>
      <c r="L10" s="33"/>
      <c r="M10" s="33"/>
      <c r="N10" s="33">
        <f>C32*'E Balans VL '!Y20/100/3.6*1000000</f>
        <v>217.90506321109191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3360.9561210403799</v>
      </c>
      <c r="C12" s="33"/>
      <c r="D12" s="37">
        <f>IF( ISERROR(IND_min_gas_kWh/1000),0,IND_min_gas_kWh/1000)*0.903</f>
        <v>0</v>
      </c>
      <c r="E12" s="33">
        <f>C34*'E Balans VL '!I22/100/3.6*1000000</f>
        <v>14.543767229714692</v>
      </c>
      <c r="F12" s="33">
        <f>C34*'E Balans VL '!L22/100/3.6*1000000+C34*'E Balans VL '!N22/100/3.6*1000000</f>
        <v>128.3254535641916</v>
      </c>
      <c r="G12" s="34"/>
      <c r="H12" s="33"/>
      <c r="I12" s="33"/>
      <c r="J12" s="40">
        <f>C34*'E Balans VL '!D22/100/3.6*1000000+C34*'E Balans VL '!E22/100/3.6*1000000</f>
        <v>0</v>
      </c>
      <c r="K12" s="33"/>
      <c r="L12" s="33"/>
      <c r="M12" s="33"/>
      <c r="N12" s="33">
        <f>C34*'E Balans VL '!Y22/100/3.6*1000000</f>
        <v>573.30340392010589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4145.3140593004</v>
      </c>
      <c r="C14" s="33"/>
      <c r="D14" s="37">
        <f>IF( ISERROR(IND_chemie_gas_kWh/1000),0,IND_chemie_gas_kWh/1000)*0.903</f>
        <v>9281.3597879520003</v>
      </c>
      <c r="E14" s="33">
        <f>C36*'E Balans VL '!I24/100/3.6*1000000</f>
        <v>242.4312530391704</v>
      </c>
      <c r="F14" s="33">
        <f>C36*'E Balans VL '!L24/100/3.6*1000000+C36*'E Balans VL '!N24/100/3.6*1000000</f>
        <v>29.319699237774675</v>
      </c>
      <c r="G14" s="34"/>
      <c r="H14" s="33"/>
      <c r="I14" s="33"/>
      <c r="J14" s="40">
        <f>C36*'E Balans VL '!D24/100/3.6*1000000+C36*'E Balans VL '!E24/100/3.6*1000000</f>
        <v>0</v>
      </c>
      <c r="K14" s="33"/>
      <c r="L14" s="33"/>
      <c r="M14" s="33"/>
      <c r="N14" s="33">
        <f>C36*'E Balans VL '!Y24/100/3.6*1000000</f>
        <v>0.27937814528199817</v>
      </c>
      <c r="O14" s="33"/>
      <c r="P14" s="33"/>
      <c r="R14" s="32"/>
    </row>
    <row r="15" spans="1:18">
      <c r="A15" s="6" t="s">
        <v>265</v>
      </c>
      <c r="B15" s="37">
        <f t="shared" si="0"/>
        <v>451.44152350855398</v>
      </c>
      <c r="C15" s="33"/>
      <c r="D15" s="37">
        <f>IF( ISERROR(IND_rest_gas_kWh/1000),0,IND_rest_gas_kWh/1000)*0.903</f>
        <v>9368.426936883001</v>
      </c>
      <c r="E15" s="33">
        <f>C37*'E Balans VL '!I15/100/3.6*1000000</f>
        <v>11.378938403884138</v>
      </c>
      <c r="F15" s="33">
        <f>C37*'E Balans VL '!L15/100/3.6*1000000+C37*'E Balans VL '!N15/100/3.6*1000000</f>
        <v>36.648618497178894</v>
      </c>
      <c r="G15" s="34"/>
      <c r="H15" s="33"/>
      <c r="I15" s="33"/>
      <c r="J15" s="40">
        <f>C37*'E Balans VL '!D15/100/3.6*1000000+C37*'E Balans VL '!E15/100/3.6*1000000</f>
        <v>0.92164468448717407</v>
      </c>
      <c r="K15" s="33"/>
      <c r="L15" s="33"/>
      <c r="M15" s="33"/>
      <c r="N15" s="33">
        <f>C37*'E Balans VL '!Y15/100/3.6*1000000</f>
        <v>7.6281240937094124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45991.912287872736</v>
      </c>
      <c r="C18" s="21">
        <f>C5+C16</f>
        <v>0</v>
      </c>
      <c r="D18" s="21">
        <f>MAX((D5+D16),0)</f>
        <v>34657.875561225002</v>
      </c>
      <c r="E18" s="21">
        <f>MAX((E5+E16),0)</f>
        <v>384.43907638821497</v>
      </c>
      <c r="F18" s="21">
        <f>MAX((F5+F16),0)</f>
        <v>17367.72616034776</v>
      </c>
      <c r="G18" s="21"/>
      <c r="H18" s="21"/>
      <c r="I18" s="21"/>
      <c r="J18" s="21">
        <f>MAX((J5+J16),0)</f>
        <v>4.179388283261094</v>
      </c>
      <c r="K18" s="21"/>
      <c r="L18" s="21">
        <f>MAX((L5+L16),0)</f>
        <v>0</v>
      </c>
      <c r="M18" s="21"/>
      <c r="N18" s="21">
        <f>MAX((N5+N16),0)</f>
        <v>1999.4147652533836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0.20627841238359892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9487.1386492281235</v>
      </c>
      <c r="C22" s="23">
        <f ca="1">C18*C20</f>
        <v>0</v>
      </c>
      <c r="D22" s="23">
        <f>D18*D20</f>
        <v>7000.8908633674509</v>
      </c>
      <c r="E22" s="23">
        <f>E18*E20</f>
        <v>87.267670340124795</v>
      </c>
      <c r="F22" s="23">
        <f>F18*F20</f>
        <v>4637.1828848128525</v>
      </c>
      <c r="G22" s="23"/>
      <c r="H22" s="23"/>
      <c r="I22" s="23"/>
      <c r="J22" s="23">
        <f>J18*J20</f>
        <v>1.4795034522744273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3674.48410743565</v>
      </c>
      <c r="C30" s="39">
        <f>IF(ISERROR(B30*3.6/1000000/'E Balans VL '!Z18*100),0,B30*3.6/1000000/'E Balans VL '!Z18*100)</f>
        <v>0.18239310972917694</v>
      </c>
      <c r="D30" s="233" t="s">
        <v>691</v>
      </c>
    </row>
    <row r="31" spans="1:18">
      <c r="A31" s="6" t="s">
        <v>32</v>
      </c>
      <c r="B31" s="37">
        <f>IF( ISERROR(IND_ander_ele_kWh/1000),0,IND_ander_ele_kWh/1000)</f>
        <v>27460.7105548135</v>
      </c>
      <c r="C31" s="39">
        <f>IF(ISERROR(B31*3.6/1000000/'E Balans VL '!Z19*100),0,B31*3.6/1000000/'E Balans VL '!Z19*100)</f>
        <v>0.92665826383718164</v>
      </c>
      <c r="D31" s="233" t="s">
        <v>691</v>
      </c>
    </row>
    <row r="32" spans="1:18">
      <c r="A32" s="168" t="s">
        <v>40</v>
      </c>
      <c r="B32" s="37">
        <f>IF( ISERROR(IND_voed_ele_kWh/1000),0,IND_voed_ele_kWh/1000)</f>
        <v>6899.0059217742501</v>
      </c>
      <c r="C32" s="39">
        <f>IF(ISERROR(B32*3.6/1000000/'E Balans VL '!Z20*100),0,B32*3.6/1000000/'E Balans VL '!Z20*100)</f>
        <v>0.16201841500969483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3360.9561210403799</v>
      </c>
      <c r="C34" s="39">
        <f>IF(ISERROR(B34*3.6/1000000/'E Balans VL '!Z22*100),0,B34*3.6/1000000/'E Balans VL '!Z22*100)</f>
        <v>0.47682139434179449</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4145.3140593004</v>
      </c>
      <c r="C36" s="39">
        <f>IF(ISERROR(B36*3.6/1000000/'E Balans VL '!Z24*100),0,B36*3.6/1000000/'E Balans VL '!Z24*100)</f>
        <v>3.7853267708512828E-2</v>
      </c>
      <c r="D36" s="233" t="s">
        <v>691</v>
      </c>
    </row>
    <row r="37" spans="1:5">
      <c r="A37" s="168" t="s">
        <v>265</v>
      </c>
      <c r="B37" s="37">
        <f>IF( ISERROR(IND_rest_ele_kWh/1000),0,IND_rest_ele_kWh/1000)</f>
        <v>451.44152350855398</v>
      </c>
      <c r="C37" s="39">
        <f>IF(ISERROR(B37*3.6/1000000/'E Balans VL '!Z15*100),0,B37*3.6/1000000/'E Balans VL '!Z15*100)</f>
        <v>1.6917902926548373E-3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560.2845124792251</v>
      </c>
      <c r="C5" s="17">
        <f>'Eigen informatie GS &amp; warmtenet'!B62</f>
        <v>0</v>
      </c>
      <c r="D5" s="30">
        <f>IF(ISERROR(SUM(LB_lb_gas_kWh,LB_rest_gas_kWh)/1000),0,SUM(LB_lb_gas_kWh,LB_rest_gas_kWh)/1000)*0.903</f>
        <v>49.977464187000002</v>
      </c>
      <c r="E5" s="17">
        <f>B17*'E Balans VL '!I25/3.6*1000000/100</f>
        <v>20.894723258419567</v>
      </c>
      <c r="F5" s="17">
        <f>B17*('E Balans VL '!L25/3.6*1000000+'E Balans VL '!N25/3.6*1000000)/100</f>
        <v>1817.779460940428</v>
      </c>
      <c r="G5" s="18"/>
      <c r="H5" s="17"/>
      <c r="I5" s="17"/>
      <c r="J5" s="17">
        <f>('E Balans VL '!D25+'E Balans VL '!E25)/3.6*1000000*landbouw!B17/100</f>
        <v>147.07745059840309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560.2845124792251</v>
      </c>
      <c r="C8" s="21">
        <f>C5+C6</f>
        <v>0</v>
      </c>
      <c r="D8" s="21">
        <f>MAX((D5+D6),0)</f>
        <v>49.977464187000002</v>
      </c>
      <c r="E8" s="21">
        <f>MAX((E5+E6),0)</f>
        <v>20.894723258419567</v>
      </c>
      <c r="F8" s="21">
        <f>MAX((F5+F6),0)</f>
        <v>1817.779460940428</v>
      </c>
      <c r="G8" s="21"/>
      <c r="H8" s="21"/>
      <c r="I8" s="21"/>
      <c r="J8" s="21">
        <f>MAX((J5+J6),0)</f>
        <v>147.07745059840309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0.20627841238359892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115.57459971733327</v>
      </c>
      <c r="C12" s="23">
        <f ca="1">C8*C10</f>
        <v>0</v>
      </c>
      <c r="D12" s="23">
        <f>D8*D10</f>
        <v>10.095447765774001</v>
      </c>
      <c r="E12" s="23">
        <f>E8*E10</f>
        <v>4.7431021796612418</v>
      </c>
      <c r="F12" s="23">
        <f>F8*F10</f>
        <v>485.34711607109426</v>
      </c>
      <c r="G12" s="23"/>
      <c r="H12" s="23"/>
      <c r="I12" s="23"/>
      <c r="J12" s="23">
        <f>J8*J10</f>
        <v>52.065417511834688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7.6953615716302742E-2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147.53894643414111</v>
      </c>
      <c r="C26" s="243">
        <f>B26*'GWP N2O_CH4'!B5</f>
        <v>3098.3178751169635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49.055865535232499</v>
      </c>
      <c r="C27" s="243">
        <f>B27*'GWP N2O_CH4'!B5</f>
        <v>1030.1731762398824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1.9468328411297966</v>
      </c>
      <c r="C28" s="243">
        <f>B28*'GWP N2O_CH4'!B4</f>
        <v>603.51818075023698</v>
      </c>
      <c r="D28" s="50"/>
    </row>
    <row r="29" spans="1:4">
      <c r="A29" s="41" t="s">
        <v>272</v>
      </c>
      <c r="B29" s="243">
        <f>B34*'ha_N2O bodem landbouw'!B4</f>
        <v>4.9763346898054843</v>
      </c>
      <c r="C29" s="243">
        <f>B29*'GWP N2O_CH4'!B4</f>
        <v>1542.6637538397001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1.1341208872823769E-3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1.2838946676970418E-3</v>
      </c>
      <c r="C5" s="434" t="s">
        <v>210</v>
      </c>
      <c r="D5" s="419">
        <f>SUM(D6:D11)</f>
        <v>1.951923241299352E-3</v>
      </c>
      <c r="E5" s="419">
        <f>SUM(E6:E11)</f>
        <v>1.234000449498094E-3</v>
      </c>
      <c r="F5" s="432" t="s">
        <v>210</v>
      </c>
      <c r="G5" s="419">
        <f>SUM(G6:G11)</f>
        <v>0.64899863976431993</v>
      </c>
      <c r="H5" s="419">
        <f>SUM(H6:H11)</f>
        <v>0.12249580830812395</v>
      </c>
      <c r="I5" s="434" t="s">
        <v>210</v>
      </c>
      <c r="J5" s="434" t="s">
        <v>210</v>
      </c>
      <c r="K5" s="434" t="s">
        <v>210</v>
      </c>
      <c r="L5" s="434" t="s">
        <v>210</v>
      </c>
      <c r="M5" s="419">
        <f>SUM(M6:M11)</f>
        <v>4.5054916373306123E-2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3.5007281459075557E-4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6.08316482375604E-4</v>
      </c>
      <c r="E6" s="885">
        <f>vkm_GW_PW*SUMIFS(TableVerdeelsleutelVkm[LPG],TableVerdeelsleutelVkm[Voertuigtype],"Lichte voertuigen")*SUMIFS(TableECFTransport[EnergieConsumptieFactor (PJ per km)],TableECFTransport[Index],CONCATENATE($A6,"_LPG_LPG"))</f>
        <v>3.3826364655991026E-4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0.10165144198273801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3.7062455570724857E-2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8.2995953539744087E-3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9.394392320793786E-7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3.8881039154294396E-2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3.9554329348531583E-7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2.1890624474074304E-3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4.24545324481537E-5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9.4722096812396104E-5</v>
      </c>
      <c r="E8" s="422">
        <f>vkm_NGW_PW*SUMIFS(TableVerdeelsleutelVkm[LPG],TableVerdeelsleutelVkm[Voertuigtype],"Lichte voertuigen")*SUMIFS(TableECFTransport[EnergieConsumptieFactor (PJ per km)],TableECFTransport[Index],CONCATENATE($A8,"_LPG_LPG"))</f>
        <v>5.0448792490433718E-5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1.3952064508564468E-2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5.7004008998100307E-3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1.1817974290505603E-3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4.149814598905863E-8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2.2117455859142457E-3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2.1089703445483526E-8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1.2452458826836793E-4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8.8370157744237557E-4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1.2488846621113519E-3</v>
      </c>
      <c r="E10" s="422">
        <f>vkm_SW_PW*SUMIFS(TableVerdeelsleutelVkm[LPG],TableVerdeelsleutelVkm[Voertuigtype],"Lichte voertuigen")*SUMIFS(TableECFTransport[EnergieConsumptieFactor (PJ per km)],TableECFTransport[Index],CONCATENATE($A10,"_LPG_LPG"))</f>
        <v>8.4528801044775001E-4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0.2309288484591511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7.9729638230779387E-2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1.8544188996210478E-2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6.6848058376884911E-6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0.26137350007365773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2.8969738127429612E-6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1.4715747558394878E-2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356.63740769362272</v>
      </c>
      <c r="C14" s="21"/>
      <c r="D14" s="21">
        <f t="shared" ref="D14:M14" si="0">((D5)*10^9/3600)+D12</f>
        <v>542.20090036093109</v>
      </c>
      <c r="E14" s="21">
        <f t="shared" si="0"/>
        <v>342.77790263835942</v>
      </c>
      <c r="F14" s="21"/>
      <c r="G14" s="21">
        <f t="shared" si="0"/>
        <v>180277.39993453331</v>
      </c>
      <c r="H14" s="21">
        <f t="shared" si="0"/>
        <v>34026.61341892332</v>
      </c>
      <c r="I14" s="21"/>
      <c r="J14" s="21"/>
      <c r="K14" s="21"/>
      <c r="L14" s="21"/>
      <c r="M14" s="21">
        <f t="shared" si="0"/>
        <v>12515.25454814059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0.20627841238359892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73.566598255642802</v>
      </c>
      <c r="C18" s="23"/>
      <c r="D18" s="23">
        <f t="shared" ref="D18:M18" si="1">D14*D16</f>
        <v>109.52458187290809</v>
      </c>
      <c r="E18" s="23">
        <f t="shared" si="1"/>
        <v>77.810583898907595</v>
      </c>
      <c r="F18" s="23"/>
      <c r="G18" s="23">
        <f t="shared" si="1"/>
        <v>48134.065782520396</v>
      </c>
      <c r="H18" s="23">
        <f t="shared" si="1"/>
        <v>8472.6267413119058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4.448857281132051E-5</v>
      </c>
      <c r="C50" s="315">
        <f t="shared" ref="C50:P50" si="2">SUM(C51:C52)</f>
        <v>0</v>
      </c>
      <c r="D50" s="315">
        <f t="shared" si="2"/>
        <v>0</v>
      </c>
      <c r="E50" s="315">
        <f t="shared" si="2"/>
        <v>0</v>
      </c>
      <c r="F50" s="315">
        <f t="shared" si="2"/>
        <v>0</v>
      </c>
      <c r="G50" s="315">
        <f t="shared" si="2"/>
        <v>3.1755141249708123E-3</v>
      </c>
      <c r="H50" s="315">
        <f t="shared" si="2"/>
        <v>0</v>
      </c>
      <c r="I50" s="315">
        <f t="shared" si="2"/>
        <v>0</v>
      </c>
      <c r="J50" s="315">
        <f t="shared" si="2"/>
        <v>0</v>
      </c>
      <c r="K50" s="315">
        <f t="shared" si="2"/>
        <v>0</v>
      </c>
      <c r="L50" s="315">
        <f t="shared" si="2"/>
        <v>0</v>
      </c>
      <c r="M50" s="315">
        <f t="shared" si="2"/>
        <v>1.753474247238485E-4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4.448857281132051E-5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3.1755141249708123E-3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1.753474247238485E-4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12.357936892033475</v>
      </c>
      <c r="C54" s="21">
        <f t="shared" ref="C54:P54" si="3">(C50)*10^9/3600</f>
        <v>0</v>
      </c>
      <c r="D54" s="21">
        <f t="shared" si="3"/>
        <v>0</v>
      </c>
      <c r="E54" s="21">
        <f t="shared" si="3"/>
        <v>0</v>
      </c>
      <c r="F54" s="21">
        <f t="shared" si="3"/>
        <v>0</v>
      </c>
      <c r="G54" s="21">
        <f t="shared" si="3"/>
        <v>882.08725693633676</v>
      </c>
      <c r="H54" s="21">
        <f t="shared" si="3"/>
        <v>0</v>
      </c>
      <c r="I54" s="21">
        <f t="shared" si="3"/>
        <v>0</v>
      </c>
      <c r="J54" s="21">
        <f t="shared" si="3"/>
        <v>0</v>
      </c>
      <c r="K54" s="21">
        <f t="shared" si="3"/>
        <v>0</v>
      </c>
      <c r="L54" s="21">
        <f t="shared" si="3"/>
        <v>0</v>
      </c>
      <c r="M54" s="21">
        <f t="shared" si="3"/>
        <v>48.707617978846805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0.20627841238359892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2.5491756024253722</v>
      </c>
      <c r="C58" s="23">
        <f t="shared" ref="C58:P58" ca="1" si="4">C54*C56</f>
        <v>0</v>
      </c>
      <c r="D58" s="23">
        <f t="shared" si="4"/>
        <v>0</v>
      </c>
      <c r="E58" s="23">
        <f t="shared" si="4"/>
        <v>0</v>
      </c>
      <c r="F58" s="23">
        <f t="shared" si="4"/>
        <v>0</v>
      </c>
      <c r="G58" s="23">
        <f t="shared" si="4"/>
        <v>235.51729760200192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6202.7440447107756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6202.7440447107756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2021-06-29T14:25:47Z</dcterms:modified>
</cp:coreProperties>
</file>