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Q11" i="14"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8" i="15"/>
  <c r="C20" i="15" s="1"/>
  <c r="D40" i="14" s="1"/>
  <c r="C10" i="13"/>
  <c r="C12" i="13" s="1"/>
  <c r="D41" i="14" s="1"/>
  <c r="D46" i="14" s="1"/>
  <c r="D61" i="14" s="1"/>
  <c r="D63" i="14" s="1"/>
  <c r="C17" i="49"/>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<sst xmlns="http://schemas.openxmlformats.org/spreadsheetml/2006/main" count="2457" uniqueCount="890">
  <si>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</si>
  <si>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</si>
  <si>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</si>
  <si>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</si>
  <si>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</si>
  <si>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</si>
  <si>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</si>
  <si>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</si>
  <si>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</si>
  <si>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</si>
  <si>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</si>
  <si>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</si>
  <si>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</si>
  <si>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</si>
  <si>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</si>
  <si>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</si>
  <si>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</si>
  <si>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</si>
  <si>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</si>
  <si>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</si>
  <si>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</si>
  <si>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</si>
  <si>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</si>
  <si>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</si>
  <si>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</si>
  <si>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</si>
  <si>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</si>
  <si>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</si>
  <si>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</si>
  <si>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</si>
  <si>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</si>
  <si>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</si>
  <si>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</si>
  <si>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</si>
  <si>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</si>
  <si>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</si>
  <si>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</si>
  <si>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</si>
  <si>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</si>
  <si>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</si>
  <si>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</si>
  <si>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</si>
  <si>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</si>
  <si>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</si>
  <si>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</si>
  <si>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</si>
  <si>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</si>
  <si>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</si>
  <si>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</si>
  <si>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</si>
  <si>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</si>
  <si>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</si>
  <si>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</si>
  <si>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</si>
  <si>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</si>
  <si>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</si>
  <si>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</si>
  <si>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</si>
  <si>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</si>
  <si>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</si>
  <si>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</si>
  <si>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</si>
  <si>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</si>
  <si>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</si>
  <si>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</si>
  <si>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</si>
  <si>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</si>
  <si>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</si>
  <si>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</si>
  <si>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</si>
  <si>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</si>
  <si>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</si>
  <si>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</si>
  <si>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</si>
  <si>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</si>
  <si>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</si>
  <si>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</si>
  <si>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</si>
  <si>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</si>
  <si>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</si>
  <si>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</si>
  <si>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</si>
  <si>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</si>
  <si>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</si>
  <si>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</si>
  <si>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</si>
  <si>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</si>
  <si>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</si>
  <si>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</si>
  <si>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</si>
  <si>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</si>
  <si>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</si>
  <si>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</si>
  <si>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</si>
  <si>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</si>
  <si>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</si>
  <si>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</si>
  <si>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</si>
  <si>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</si>
  <si>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</si>
  <si>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</si>
  <si>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</si>
  <si>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</si>
  <si>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</si>
  <si>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</si>
  <si>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</si>
  <si>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</si>
  <si>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</si>
  <si>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</si>
  <si>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</si>
  <si>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</si>
  <si>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</si>
  <si>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</si>
  <si>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</si>
  <si>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</si>
  <si>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</si>
  <si>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</si>
  <si>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</si>
  <si>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</si>
  <si>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</si>
  <si>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</si>
  <si>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</si>
  <si>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</si>
  <si>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</si>
  <si>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</si>
  <si>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</si>
  <si>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</si>
  <si>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</si>
  <si>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</si>
  <si>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</si>
  <si>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</si>
  <si>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</si>
  <si>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</si>
  <si>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</si>
  <si>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</si>
  <si>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</si>
  <si>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</si>
  <si>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</si>
  <si>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</si>
  <si>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</si>
  <si>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</si>
  <si>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</si>
  <si>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</si>
  <si>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</si>
  <si>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</si>
  <si>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</si>
  <si>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</si>
  <si>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</si>
  <si>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</si>
  <si>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</si>
  <si>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</si>
  <si>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</si>
  <si>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</si>
  <si>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</si>
  <si>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</si>
  <si>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</si>
  <si>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</si>
  <si>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</si>
  <si>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</si>
  <si>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</si>
  <si>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</si>
  <si>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</si>
  <si>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</si>
  <si>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</si>
  <si>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</si>
  <si>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</si>
  <si>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</si>
  <si>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</si>
  <si>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</si>
  <si>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</si>
  <si>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</si>
  <si>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</si>
  <si>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</si>
  <si>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</si>
  <si>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</si>
  <si>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</si>
  <si>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</si>
  <si>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</si>
  <si>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</si>
  <si>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</si>
  <si>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</si>
  <si>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</si>
  <si>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</si>
  <si>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</si>
  <si>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</si>
  <si>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</si>
  <si>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</si>
  <si>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</si>
  <si>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</si>
  <si>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</si>
  <si>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</si>
  <si>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</si>
  <si>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</si>
  <si>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</si>
  <si>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</si>
  <si>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</si>
  <si>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</si>
  <si>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</si>
  <si>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</si>
  <si>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</si>
  <si>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</si>
  <si>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</si>
  <si>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</si>
  <si>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</si>
  <si>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</si>
  <si>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</si>
  <si>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</si>
  <si>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</si>
  <si>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</si>
  <si>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</si>
  <si>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</si>
  <si>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</si>
  <si>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</si>
  <si>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</si>
  <si>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</si>
  <si>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</si>
  <si>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</si>
  <si>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</si>
  <si>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</si>
  <si>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</si>
  <si>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</si>
  <si>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</si>
  <si>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</si>
  <si>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</si>
  <si>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</si>
  <si>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</si>
  <si>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</si>
  <si>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</si>
  <si>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</si>
  <si>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</si>
  <si>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</si>
  <si>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</si>
  <si>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</si>
  <si>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</si>
  <si>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</si>
  <si>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</si>
  <si>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</si>
  <si>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</si>
  <si>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</si>
  <si>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</si>
  <si>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</si>
  <si>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</si>
  <si>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</si>
  <si>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</si>
  <si>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</si>
  <si>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</si>
  <si>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</si>
  <si>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</si>
  <si>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</si>
  <si>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</si>
  <si>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</si>
  <si>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</si>
  <si>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</si>
  <si>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</si>
  <si>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</si>
  <si>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</si>
  <si>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</si>
  <si>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</si>
  <si>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</si>
  <si>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</si>
  <si>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</si>
  <si>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</si>
  <si>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</si>
  <si>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</si>
  <si>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</si>
  <si>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</si>
  <si>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</si>
  <si>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</si>
  <si>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</si>
  <si>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</si>
  <si>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</si>
  <si>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</si>
  <si>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</si>
  <si>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</si>
  <si>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</si>
  <si>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</si>
  <si>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</si>
  <si>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</si>
  <si>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</si>
  <si>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</si>
  <si>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</si>
  <si>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</si>
  <si>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</si>
  <si>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</si>
  <si>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</si>
  <si>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</si>
  <si>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</si>
  <si>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</si>
  <si>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</si>
  <si>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</si>
  <si>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</si>
  <si>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</si>
  <si>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</si>
  <si>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</si>
  <si>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</si>
  <si>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</si>
  <si>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</si>
  <si>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</si>
  <si>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</si>
  <si>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</si>
  <si>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</si>
  <si>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</si>
  <si>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</si>
  <si>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</si>
  <si>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</si>
  <si>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</si>
  <si>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</si>
  <si>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</si>
  <si>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</si>
  <si>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</si>
  <si>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</si>
  <si>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</si>
  <si>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</si>
  <si>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</si>
  <si>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</si>
  <si>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</si>
  <si>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</si>
  <si>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</si>
  <si>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</si>
  <si>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</si>
  <si>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</si>
  <si>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</si>
  <si>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</si>
  <si>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</si>
  <si>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</si>
  <si>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</si>
  <si>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</si>
  <si>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</si>
  <si>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</si>
  <si>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</si>
  <si>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</si>
  <si>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</si>
  <si>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</si>
  <si>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</si>
  <si>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</si>
  <si>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</si>
  <si>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</si>
  <si>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</si>
  <si>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</si>
  <si>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</si>
  <si>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</si>
  <si>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</si>
  <si>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</si>
  <si>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</si>
  <si>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</si>
  <si>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</si>
  <si>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</si>
  <si>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</si>
  <si>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</si>
  <si>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</si>
  <si>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</si>
  <si>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</si>
  <si>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</si>
  <si>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</si>
  <si>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</si>
  <si>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</si>
  <si>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</si>
  <si>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</si>
  <si>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</si>
  <si>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</si>
  <si>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</si>
  <si>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</si>
  <si>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</si>
  <si>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</si>
  <si>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</si>
  <si>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</si>
  <si>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</si>
  <si>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</si>
  <si>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</si>
  <si>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</si>
  <si>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</si>
  <si>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</si>
  <si>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</si>
  <si>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</si>
  <si>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</si>
  <si>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</si>
  <si>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</si>
  <si>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</si>
  <si>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</si>
  <si>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</si>
  <si>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</si>
  <si>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</si>
  <si>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</si>
  <si>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</si>
  <si>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</si>
  <si>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</si>
  <si>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</si>
  <si>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</si>
  <si>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</si>
  <si>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</si>
  <si>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</si>
  <si>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</si>
  <si>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</si>
  <si>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</si>
  <si>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</si>
  <si>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</si>
  <si>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</si>
  <si>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</si>
  <si>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</si>
  <si>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</si>
  <si>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</si>
  <si>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</si>
  <si>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</si>
  <si>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</si>
  <si>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</si>
  <si>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</si>
  <si>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</si>
  <si>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</si>
  <si>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</si>
  <si>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</si>
  <si>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</si>
  <si>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</si>
  <si>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</si>
  <si>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</si>
  <si>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</si>
  <si>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</si>
  <si>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</si>
  <si>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</si>
  <si>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</si>
  <si>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</si>
  <si>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</si>
  <si>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</si>
  <si>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</si>
  <si>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</si>
  <si>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</si>
  <si>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</si>
  <si>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</si>
  <si>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</si>
  <si>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</si>
  <si>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</si>
  <si>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</si>
  <si>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</si>
  <si>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</si>
  <si>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</si>
  <si>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</si>
  <si>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</si>
  <si>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</si>
  <si>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</si>
  <si>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</si>
  <si>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</si>
  <si>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</si>
  <si>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</si>
  <si>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</si>
  <si>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</si>
  <si>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</si>
  <si>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</si>
  <si>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</si>
  <si>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</si>
  <si>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</si>
  <si>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</si>
  <si>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</si>
  <si>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</si>
  <si>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</si>
  <si>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</si>
  <si>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</si>
  <si>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</si>
  <si>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</si>
  <si>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</si>
  <si>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</si>
  <si>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</si>
  <si>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</si>
  <si>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</si>
  <si>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</si>
  <si>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</si>
  <si>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</si>
  <si>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</si>
  <si>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</si>
  <si>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</si>
  <si>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</si>
  <si>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</si>
  <si>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</si>
  <si>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</si>
  <si>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</si>
  <si>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</si>
  <si>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</si>
  <si>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</si>
  <si>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</si>
  <si>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</si>
  <si>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</si>
  <si>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</si>
  <si>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</si>
  <si>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</si>
  <si>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</si>
  <si>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</si>
  <si>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</si>
  <si>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</si>
  <si>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</si>
  <si>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</si>
  <si>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</si>
  <si>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</si>
  <si>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</si>
  <si>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</si>
  <si>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</si>
  <si>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</si>
  <si>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</si>
  <si>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</si>
  <si>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</si>
  <si>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</si>
  <si>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</si>
  <si>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</si>
  <si>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</si>
  <si>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</si>
  <si>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</si>
  <si>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</si>
  <si>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</si>
  <si>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</si>
  <si>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</si>
  <si>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</si>
  <si>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</si>
  <si>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</si>
  <si>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</si>
  <si>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</si>
  <si>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</si>
  <si>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</si>
  <si>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</si>
  <si>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</si>
  <si>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</si>
  <si>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</si>
  <si>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</si>
  <si>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</si>
  <si>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</si>
  <si>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</si>
  <si>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</si>
  <si>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</si>
  <si>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</si>
  <si>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</si>
  <si>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</si>
  <si>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</si>
  <si>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</si>
  <si>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</si>
  <si>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</si>
  <si>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</si>
  <si>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</si>
  <si>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</si>
  <si>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</si>
  <si>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</si>
  <si>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</si>
  <si>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</si>
  <si>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</si>
  <si>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</si>
  <si>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</si>
  <si>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</si>
  <si>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</si>
  <si>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</si>
  <si>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</si>
  <si>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</si>
  <si>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</si>
  <si>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</si>
  <si>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</si>
  <si>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</si>
  <si>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</si>
  <si>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</si>
  <si>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</si>
  <si>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</si>
  <si>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</si>
  <si>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</si>
  <si>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</si>
  <si>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</si>
  <si>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</si>
  <si>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</si>
  <si>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</si>
  <si>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</si>
  <si>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</si>
  <si>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</si>
  <si>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</si>
  <si>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</si>
  <si>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</si>
  <si>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</si>
  <si>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</si>
  <si>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</si>
  <si>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</si>
  <si>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</si>
  <si>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</si>
  <si>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</si>
  <si>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</si>
  <si>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</si>
  <si>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</si>
  <si>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</si>
  <si>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</si>
  <si>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</si>
  <si>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</si>
  <si>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</si>
  <si>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</si>
  <si>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</si>
  <si>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</si>
  <si>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</si>
  <si>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</si>
  <si>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</si>
  <si>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</si>
  <si>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</si>
  <si>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</si>
  <si>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</si>
  <si>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</si>
  <si>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</si>
  <si>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</si>
  <si>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</si>
  <si>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</si>
  <si>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</si>
  <si>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</si>
  <si>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</si>
  <si>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</si>
  <si>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</si>
  <si>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</si>
  <si>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</si>
  <si>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</si>
  <si>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</si>
  <si>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</si>
  <si>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</si>
  <si>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</si>
  <si>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</si>
  <si>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</si>
  <si>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</si>
  <si>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</si>
  <si>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</si>
  <si>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</si>
  <si>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</si>
  <si>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</si>
  <si>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</si>
  <si>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</si>
  <si>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</si>
  <si>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</si>
  <si>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</si>
  <si>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</si>
  <si>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</si>
  <si>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</si>
  <si>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</si>
  <si>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</si>
  <si>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</si>
  <si>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</si>
  <si>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</si>
  <si>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</si>
  <si>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</si>
  <si>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</si>
  <si>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</si>
  <si>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</si>
  <si>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</si>
  <si>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</si>
  <si>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</si>
  <si>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</si>
  <si>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</si>
  <si>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</si>
  <si>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</si>
  <si>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</si>
  <si>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</si>
  <si>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</si>
  <si>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</si>
  <si>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</si>
  <si>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</si>
  <si>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</si>
  <si>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</si>
  <si>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</si>
  <si>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</si>
  <si>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</si>
  <si>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</si>
  <si>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</si>
  <si>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</si>
  <si>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</si>
  <si>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</si>
  <si>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</si>
  <si>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</si>
  <si>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</si>
  <si>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</si>
  <si>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</si>
  <si>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</si>
  <si>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</si>
  <si>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</si>
  <si>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</si>
  <si>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</si>
  <si>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</si>
  <si>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</si>
  <si>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</si>
  <si>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</si>
  <si>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</si>
  <si>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</si>
  <si>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</si>
  <si>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</si>
  <si>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</si>
  <si>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</si>
  <si>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</si>
  <si>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</si>
  <si>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</si>
  <si>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</si>
  <si>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</si>
  <si>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</si>
  <si>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</si>
  <si>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</si>
  <si>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</si>
  <si>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</si>
  <si>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</si>
  <si>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</si>
  <si>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</si>
  <si>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</si>
  <si>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</si>
  <si>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</si>
  <si>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</si>
  <si>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</si>
  <si>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</si>
  <si>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</si>
  <si>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</si>
  <si>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</si>
  <si>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</si>
  <si>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</si>
  <si>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</si>
  <si>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</si>
  <si>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</si>
  <si>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</si>
  <si>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</si>
  <si>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</si>
  <si>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</si>
  <si>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</si>
  <si>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</si>
  <si>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</si>
  <si>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</si>
  <si>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</si>
  <si>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</si>
  <si>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</si>
  <si>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</si>
  <si>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</si>
  <si>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</si>
  <si>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</si>
  <si>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</si>
  <si>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</si>
  <si>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</si>
  <si>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</si>
  <si>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</si>
  <si>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</si>
  <si>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</si>
  <si>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</si>
  <si>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</si>
  <si>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</si>
  <si>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</si>
  <si>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</si>
  <si>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</si>
  <si>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</si>
  <si>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</si>
  <si>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</si>
  <si>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</si>
  <si>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</si>
  <si>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</si>
  <si>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</si>
  <si>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</si>
  <si>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</si>
  <si>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</si>
  <si>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</si>
  <si>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</si>
  <si>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</si>
  <si>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</si>
  <si>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</si>
  <si>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</si>
  <si>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</si>
  <si>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</si>
  <si>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</si>
  <si>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</si>
  <si>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</si>
  <si>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</si>
  <si>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</si>
  <si>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</si>
  <si>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</si>
  <si>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</si>
  <si>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</si>
  <si>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</si>
  <si>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</si>
  <si>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</si>
  <si>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</si>
  <si>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</si>
  <si>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</si>
  <si>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</si>
  <si>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</si>
  <si>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</si>
  <si>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</si>
  <si>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</si>
  <si>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</si>
  <si>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</si>
  <si>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</si>
  <si>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</si>
  <si>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</si>
  <si>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</si>
  <si>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</si>
  <si>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</si>
  <si>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</si>
  <si>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</si>
  <si>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</si>
  <si>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</si>
  <si>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</si>
  <si>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</si>
  <si>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</si>
  <si>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</si>
  <si>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</si>
  <si>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</si>
  <si>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</si>
  <si>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</si>
  <si>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</si>
  <si>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</si>
  <si>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</si>
  <si>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</si>
  <si>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</si>
  <si>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</si>
  <si>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</si>
  <si>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</si>
  <si>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</si>
  <si>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</si>
  <si>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</si>
  <si>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</si>
  <si>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</si>
  <si>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</si>
  <si>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</si>
  <si>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</si>
  <si>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</si>
  <si>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</si>
  <si>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</si>
  <si>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</si>
  <si>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</si>
  <si>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</si>
  <si>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</si>
  <si>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</si>
  <si>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</si>
  <si>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</si>
  <si>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</si>
  <si>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</si>
  <si>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</si>
  <si>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</si>
  <si>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</si>
  <si>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</si>
  <si>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</si>
  <si>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</si>
  <si>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</si>
  <si>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</si>
  <si>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</si>
  <si>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</si>
  <si>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</si>
  <si>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</si>
  <si>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</si>
  <si>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</si>
  <si>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</si>
  <si>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</si>
  <si>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</si>
  <si>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</si>
  <si>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</si>
  <si>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</si>
  <si>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</si>
  <si>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</si>
  <si>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</si>
  <si>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</si>
  <si>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</si>
  <si>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</si>
  <si>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</si>
  <si>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</si>
  <si>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</si>
  <si>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</si>
  <si>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</si>
  <si>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</si>
  <si>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</si>
  <si>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</si>
  <si>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</si>
  <si>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</si>
  <si>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</si>
  <si>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</si>
  <si>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</si>
  <si>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</si>
  <si>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</si>
  <si>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</si>
  <si>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</si>
  <si>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</si>
  <si>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</si>
  <si>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</si>
  <si>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</si>
  <si>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</si>
  <si>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</si>
  <si>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</si>
  <si>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</si>
  <si>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</si>
  <si>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</si>
  <si>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</si>
  <si>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</si>
  <si>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</si>
  <si>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</si>
  <si>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</si>
  <si>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</si>
  <si>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</si>
  <si>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12007</t>
  </si>
  <si>
    <t>BORNEM</t>
  </si>
  <si>
    <t>referentietaak LNE (2017); Jaarverslag De Lijn</t>
  </si>
  <si>
    <t>waterkracht</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</si>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</sst>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175204.04698538143</c:v>
                </c:pt>
                <c:pt idx="1">
                  <c:v>87092.689994873508</c:v>
                </c:pt>
                <c:pt idx="2">
                  <c:v>1581.5440000000001</c:v>
                </c:pt>
                <c:pt idx="3">
                  <c:v>4552.8890394184045</c:v>
                </c:pt>
                <c:pt idx="4">
                  <c:v>162069.553134824</c:v>
                </c:pt>
                <c:pt idx="5">
                  <c:v>115352.06350134523</c:v>
                </c:pt>
                <c:pt idx="6">
                  <c:v>607.28779347048453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175204.04698538143</c:v>
                </c:pt>
                <c:pt idx="1">
                  <c:v>87092.689994873508</c:v>
                </c:pt>
                <c:pt idx="2">
                  <c:v>1581.5440000000001</c:v>
                </c:pt>
                <c:pt idx="3">
                  <c:v>4552.8890394184045</c:v>
                </c:pt>
                <c:pt idx="4">
                  <c:v>162069.553134824</c:v>
                </c:pt>
                <c:pt idx="5">
                  <c:v>115352.06350134523</c:v>
                </c:pt>
                <c:pt idx="6">
                  <c:v>607.28779347048453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34711.357298192343</c:v>
                </c:pt>
                <c:pt idx="1">
                  <c:v>17494.450054044522</c:v>
                </c:pt>
                <c:pt idx="2">
                  <c:v>314.29794221507922</c:v>
                </c:pt>
                <c:pt idx="3">
                  <c:v>1126.8204335081653</c:v>
                </c:pt>
                <c:pt idx="4">
                  <c:v>33546.657073652248</c:v>
                </c:pt>
                <c:pt idx="5">
                  <c:v>28679.345989392532</c:v>
                </c:pt>
                <c:pt idx="6">
                  <c:v>153.22883099629999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34711.357298192343</c:v>
                </c:pt>
                <c:pt idx="1">
                  <c:v>17494.450054044522</c:v>
                </c:pt>
                <c:pt idx="2">
                  <c:v>314.29794221507922</c:v>
                </c:pt>
                <c:pt idx="3">
                  <c:v>1126.8204335081653</c:v>
                </c:pt>
                <c:pt idx="4">
                  <c:v>33546.657073652248</c:v>
                </c:pt>
                <c:pt idx="5">
                  <c:v>28679.345989392532</c:v>
                </c:pt>
                <c:pt idx="6">
                  <c:v>153.22883099629999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12007</v>
      </c>
      <c r="B6" s="386"/>
      <c r="C6" s="387"/>
    </row>
    <row r="7" spans="1:7" s="384" customFormat="1" ht="15.75" customHeight="1">
      <c r="A7" s="388" t="str">
        <f>txtMunicipality</f>
        <v>BORNEM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35880.135096178914</v>
      </c>
      <c r="D10" s="682">
        <f ca="1">tertiair!C16</f>
        <v>0</v>
      </c>
      <c r="E10" s="682">
        <f ca="1">tertiair!D16</f>
        <v>46085.599181016361</v>
      </c>
      <c r="F10" s="682">
        <f>tertiair!E16</f>
        <v>91.121590726770322</v>
      </c>
      <c r="G10" s="682">
        <f ca="1">tertiair!F16</f>
        <v>5050.0111920325999</v>
      </c>
      <c r="H10" s="682">
        <f>tertiair!G16</f>
        <v>0</v>
      </c>
      <c r="I10" s="682">
        <f>tertiair!H16</f>
        <v>0</v>
      </c>
      <c r="J10" s="682">
        <f>tertiair!I16</f>
        <v>0</v>
      </c>
      <c r="K10" s="682">
        <f>tertiair!J16</f>
        <v>3.4559410537997395E-2</v>
      </c>
      <c r="L10" s="682">
        <f>tertiair!K16</f>
        <v>0</v>
      </c>
      <c r="M10" s="682">
        <f ca="1">tertiair!L16</f>
        <v>0</v>
      </c>
      <c r="N10" s="682">
        <f>tertiair!M16</f>
        <v>0</v>
      </c>
      <c r="O10" s="682">
        <f ca="1">tertiair!N16</f>
        <v>1289.9449016783342</v>
      </c>
      <c r="P10" s="682">
        <f>tertiair!O16</f>
        <v>14.691782297523464</v>
      </c>
      <c r="Q10" s="683">
        <f>tertiair!P16</f>
        <v>262.69569153247511</v>
      </c>
      <c r="R10" s="685">
        <f ca="1">SUM(C10:Q10)</f>
        <v>88674.233994873503</v>
      </c>
      <c r="S10" s="67"/>
    </row>
    <row r="11" spans="1:19" s="445" customFormat="1">
      <c r="A11" s="803" t="s">
        <v>220</v>
      </c>
      <c r="B11" s="808"/>
      <c r="C11" s="682">
        <f>huishoudens!B8</f>
        <v>36317.027014296917</v>
      </c>
      <c r="D11" s="682">
        <f>huishoudens!C8</f>
        <v>0</v>
      </c>
      <c r="E11" s="682">
        <f>huishoudens!D8</f>
        <v>94729.046312818464</v>
      </c>
      <c r="F11" s="682">
        <f>huishoudens!E8</f>
        <v>1320.1328314626644</v>
      </c>
      <c r="G11" s="682">
        <f>huishoudens!F8</f>
        <v>29985.339517348188</v>
      </c>
      <c r="H11" s="682">
        <f>huishoudens!G8</f>
        <v>0</v>
      </c>
      <c r="I11" s="682">
        <f>huishoudens!H8</f>
        <v>0</v>
      </c>
      <c r="J11" s="682">
        <f>huishoudens!I8</f>
        <v>0</v>
      </c>
      <c r="K11" s="682">
        <f>huishoudens!J8</f>
        <v>150.01159449766143</v>
      </c>
      <c r="L11" s="682">
        <f>huishoudens!K8</f>
        <v>0</v>
      </c>
      <c r="M11" s="682">
        <f>huishoudens!L8</f>
        <v>0</v>
      </c>
      <c r="N11" s="682">
        <f>huishoudens!M8</f>
        <v>0</v>
      </c>
      <c r="O11" s="682">
        <f>huishoudens!N8</f>
        <v>11683.297396541677</v>
      </c>
      <c r="P11" s="682">
        <f>huishoudens!O8</f>
        <v>450.35851580085625</v>
      </c>
      <c r="Q11" s="683">
        <f>huishoudens!P8</f>
        <v>568.83380261499121</v>
      </c>
      <c r="R11" s="685">
        <f>SUM(C11:Q11)</f>
        <v>175204.04698538143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67419.211699921085</v>
      </c>
      <c r="D13" s="682">
        <f>industrie!C18</f>
        <v>7714.2857142857147</v>
      </c>
      <c r="E13" s="682">
        <f>industrie!D18</f>
        <v>67865.65663364451</v>
      </c>
      <c r="F13" s="682">
        <f>industrie!E18</f>
        <v>1439.2328127804692</v>
      </c>
      <c r="G13" s="682">
        <f>industrie!F18</f>
        <v>16027.197151079041</v>
      </c>
      <c r="H13" s="682">
        <f>industrie!G18</f>
        <v>0</v>
      </c>
      <c r="I13" s="682">
        <f>industrie!H18</f>
        <v>0</v>
      </c>
      <c r="J13" s="682">
        <f>industrie!I18</f>
        <v>0</v>
      </c>
      <c r="K13" s="682">
        <f>industrie!J18</f>
        <v>1.2079319382535345</v>
      </c>
      <c r="L13" s="682">
        <f>industrie!K18</f>
        <v>0</v>
      </c>
      <c r="M13" s="682">
        <f>industrie!L18</f>
        <v>0</v>
      </c>
      <c r="N13" s="682">
        <f>industrie!M18</f>
        <v>0</v>
      </c>
      <c r="O13" s="682">
        <f>industrie!N18</f>
        <v>1602.7611911749063</v>
      </c>
      <c r="P13" s="682">
        <f>industrie!O18</f>
        <v>0</v>
      </c>
      <c r="Q13" s="683">
        <f>industrie!P18</f>
        <v>0</v>
      </c>
      <c r="R13" s="685">
        <f>SUM(C13:Q13)</f>
        <v>162069.553134824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139616.37381039691</v>
      </c>
      <c r="D16" s="718">
        <f t="shared" ref="D16:R16" ca="1" si="0">SUM(D9:D15)</f>
        <v>7714.2857142857147</v>
      </c>
      <c r="E16" s="718">
        <f t="shared" ca="1" si="0"/>
        <v>208680.30212747934</v>
      </c>
      <c r="F16" s="718">
        <f t="shared" si="0"/>
        <v>2850.487234969904</v>
      </c>
      <c r="G16" s="718">
        <f t="shared" ca="1" si="0"/>
        <v>51062.547860459825</v>
      </c>
      <c r="H16" s="718">
        <f t="shared" si="0"/>
        <v>0</v>
      </c>
      <c r="I16" s="718">
        <f t="shared" si="0"/>
        <v>0</v>
      </c>
      <c r="J16" s="718">
        <f t="shared" si="0"/>
        <v>0</v>
      </c>
      <c r="K16" s="718">
        <f t="shared" si="0"/>
        <v>151.25408584645297</v>
      </c>
      <c r="L16" s="718">
        <f t="shared" si="0"/>
        <v>0</v>
      </c>
      <c r="M16" s="718">
        <f t="shared" ca="1" si="0"/>
        <v>0</v>
      </c>
      <c r="N16" s="718">
        <f t="shared" si="0"/>
        <v>0</v>
      </c>
      <c r="O16" s="718">
        <f t="shared" ca="1" si="0"/>
        <v>14576.003489394918</v>
      </c>
      <c r="P16" s="718">
        <f t="shared" si="0"/>
        <v>465.0502980983797</v>
      </c>
      <c r="Q16" s="718">
        <f t="shared" si="0"/>
        <v>831.52949414746627</v>
      </c>
      <c r="R16" s="718">
        <f t="shared" ca="1" si="0"/>
        <v>425947.83411507891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7.9571667847018093</v>
      </c>
      <c r="D19" s="682">
        <f>transport!C54</f>
        <v>0</v>
      </c>
      <c r="E19" s="682">
        <f>transport!D54</f>
        <v>0</v>
      </c>
      <c r="F19" s="682">
        <f>transport!E54</f>
        <v>0</v>
      </c>
      <c r="G19" s="682">
        <f>transport!F54</f>
        <v>0</v>
      </c>
      <c r="H19" s="682">
        <f>transport!G54</f>
        <v>567.96822021540538</v>
      </c>
      <c r="I19" s="682">
        <f>transport!H54</f>
        <v>0</v>
      </c>
      <c r="J19" s="682">
        <f>transport!I54</f>
        <v>0</v>
      </c>
      <c r="K19" s="682">
        <f>transport!J54</f>
        <v>0</v>
      </c>
      <c r="L19" s="682">
        <f>transport!K54</f>
        <v>0</v>
      </c>
      <c r="M19" s="682">
        <f>transport!L54</f>
        <v>0</v>
      </c>
      <c r="N19" s="682">
        <f>transport!M54</f>
        <v>31.362406470377266</v>
      </c>
      <c r="O19" s="682">
        <f>transport!N54</f>
        <v>0</v>
      </c>
      <c r="P19" s="682">
        <f>transport!O54</f>
        <v>0</v>
      </c>
      <c r="Q19" s="683">
        <f>transport!P54</f>
        <v>0</v>
      </c>
      <c r="R19" s="685">
        <f>SUM(C19:Q19)</f>
        <v>607.28779347048453</v>
      </c>
      <c r="S19" s="67"/>
    </row>
    <row r="20" spans="1:19" s="445" customFormat="1">
      <c r="A20" s="803" t="s">
        <v>302</v>
      </c>
      <c r="B20" s="808"/>
      <c r="C20" s="682">
        <f>transport!B14</f>
        <v>186.23331720842572</v>
      </c>
      <c r="D20" s="682">
        <f>transport!C14</f>
        <v>0</v>
      </c>
      <c r="E20" s="682">
        <f>transport!D14</f>
        <v>343.95758094782411</v>
      </c>
      <c r="F20" s="682">
        <f>transport!E14</f>
        <v>188.96465869248215</v>
      </c>
      <c r="G20" s="682">
        <f>transport!F14</f>
        <v>0</v>
      </c>
      <c r="H20" s="682">
        <f>transport!G14</f>
        <v>87378.335294280274</v>
      </c>
      <c r="I20" s="682">
        <f>transport!H14</f>
        <v>20883.317993117365</v>
      </c>
      <c r="J20" s="682">
        <f>transport!I14</f>
        <v>0</v>
      </c>
      <c r="K20" s="682">
        <f>transport!J14</f>
        <v>0</v>
      </c>
      <c r="L20" s="682">
        <f>transport!K14</f>
        <v>0</v>
      </c>
      <c r="M20" s="682">
        <f>transport!L14</f>
        <v>0</v>
      </c>
      <c r="N20" s="682">
        <f>transport!M14</f>
        <v>6371.2546570988525</v>
      </c>
      <c r="O20" s="682">
        <f>transport!N14</f>
        <v>0</v>
      </c>
      <c r="P20" s="682">
        <f>transport!O14</f>
        <v>0</v>
      </c>
      <c r="Q20" s="683">
        <f>transport!P14</f>
        <v>0</v>
      </c>
      <c r="R20" s="685">
        <f>SUM(C20:Q20)</f>
        <v>115352.06350134523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194.19048399312751</v>
      </c>
      <c r="D22" s="806">
        <f t="shared" ref="D22:R22" si="1">SUM(D18:D21)</f>
        <v>0</v>
      </c>
      <c r="E22" s="806">
        <f t="shared" si="1"/>
        <v>343.95758094782411</v>
      </c>
      <c r="F22" s="806">
        <f t="shared" si="1"/>
        <v>188.96465869248215</v>
      </c>
      <c r="G22" s="806">
        <f t="shared" si="1"/>
        <v>0</v>
      </c>
      <c r="H22" s="806">
        <f t="shared" si="1"/>
        <v>87946.303514495681</v>
      </c>
      <c r="I22" s="806">
        <f t="shared" si="1"/>
        <v>20883.317993117365</v>
      </c>
      <c r="J22" s="806">
        <f t="shared" si="1"/>
        <v>0</v>
      </c>
      <c r="K22" s="806">
        <f t="shared" si="1"/>
        <v>0</v>
      </c>
      <c r="L22" s="806">
        <f t="shared" si="1"/>
        <v>0</v>
      </c>
      <c r="M22" s="806">
        <f t="shared" si="1"/>
        <v>0</v>
      </c>
      <c r="N22" s="806">
        <f t="shared" si="1"/>
        <v>6402.6170635692297</v>
      </c>
      <c r="O22" s="806">
        <f t="shared" si="1"/>
        <v>0</v>
      </c>
      <c r="P22" s="806">
        <f t="shared" si="1"/>
        <v>0</v>
      </c>
      <c r="Q22" s="806">
        <f t="shared" si="1"/>
        <v>0</v>
      </c>
      <c r="R22" s="806">
        <f t="shared" si="1"/>
        <v>115959.35129481571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833.72736649042406</v>
      </c>
      <c r="D24" s="682">
        <f>+landbouw!C8</f>
        <v>0</v>
      </c>
      <c r="E24" s="682">
        <f>+landbouw!D8</f>
        <v>764.27813767239309</v>
      </c>
      <c r="F24" s="682">
        <f>+landbouw!E8</f>
        <v>31.092243686522206</v>
      </c>
      <c r="G24" s="682">
        <f>+landbouw!F8</f>
        <v>2704.9337418307464</v>
      </c>
      <c r="H24" s="682">
        <f>+landbouw!G8</f>
        <v>0</v>
      </c>
      <c r="I24" s="682">
        <f>+landbouw!H8</f>
        <v>0</v>
      </c>
      <c r="J24" s="682">
        <f>+landbouw!I8</f>
        <v>0</v>
      </c>
      <c r="K24" s="682">
        <f>+landbouw!J8</f>
        <v>218.85754973831939</v>
      </c>
      <c r="L24" s="682">
        <f>+landbouw!K8</f>
        <v>0</v>
      </c>
      <c r="M24" s="682">
        <f>+landbouw!L8</f>
        <v>0</v>
      </c>
      <c r="N24" s="682">
        <f>+landbouw!M8</f>
        <v>0</v>
      </c>
      <c r="O24" s="682">
        <f>+landbouw!N8</f>
        <v>0</v>
      </c>
      <c r="P24" s="682">
        <f>+landbouw!O8</f>
        <v>0</v>
      </c>
      <c r="Q24" s="683">
        <f>+landbouw!P8</f>
        <v>0</v>
      </c>
      <c r="R24" s="685">
        <f>SUM(C24:Q24)</f>
        <v>4552.8890394184045</v>
      </c>
      <c r="S24" s="67"/>
    </row>
    <row r="25" spans="1:19" s="445" customFormat="1" ht="15" thickBot="1">
      <c r="A25" s="825" t="s">
        <v>703</v>
      </c>
      <c r="B25" s="938"/>
      <c r="C25" s="939">
        <f>IF(Onbekend_ele_kWh="---",0,Onbekend_ele_kWh)/1000+IF(REST_rest_ele_kWh="---",0,REST_rest_ele_kWh)/1000</f>
        <v>2022.3914384904899</v>
      </c>
      <c r="D25" s="939"/>
      <c r="E25" s="939">
        <f>IF(onbekend_gas_kWh="---",0,onbekend_gas_kWh)/1000+IF(REST_rest_gas_kWh="---",0,REST_rest_gas_kWh)/1000</f>
        <v>2870.8278669226302</v>
      </c>
      <c r="F25" s="939"/>
      <c r="G25" s="939"/>
      <c r="H25" s="939"/>
      <c r="I25" s="939"/>
      <c r="J25" s="939"/>
      <c r="K25" s="939"/>
      <c r="L25" s="939"/>
      <c r="M25" s="939"/>
      <c r="N25" s="939"/>
      <c r="O25" s="939"/>
      <c r="P25" s="939"/>
      <c r="Q25" s="940"/>
      <c r="R25" s="685">
        <f>SUM(C25:Q25)</f>
        <v>4893.2193054131203</v>
      </c>
      <c r="S25" s="67"/>
    </row>
    <row r="26" spans="1:19" s="445" customFormat="1" ht="15.75" thickBot="1">
      <c r="A26" s="690" t="s">
        <v>704</v>
      </c>
      <c r="B26" s="811"/>
      <c r="C26" s="806">
        <f>SUM(C24:C25)</f>
        <v>2856.1188049809139</v>
      </c>
      <c r="D26" s="806">
        <f t="shared" ref="D26:R26" si="2">SUM(D24:D25)</f>
        <v>0</v>
      </c>
      <c r="E26" s="806">
        <f t="shared" si="2"/>
        <v>3635.1060045950235</v>
      </c>
      <c r="F26" s="806">
        <f t="shared" si="2"/>
        <v>31.092243686522206</v>
      </c>
      <c r="G26" s="806">
        <f t="shared" si="2"/>
        <v>2704.9337418307464</v>
      </c>
      <c r="H26" s="806">
        <f t="shared" si="2"/>
        <v>0</v>
      </c>
      <c r="I26" s="806">
        <f t="shared" si="2"/>
        <v>0</v>
      </c>
      <c r="J26" s="806">
        <f t="shared" si="2"/>
        <v>0</v>
      </c>
      <c r="K26" s="806">
        <f t="shared" si="2"/>
        <v>218.85754973831939</v>
      </c>
      <c r="L26" s="806">
        <f t="shared" si="2"/>
        <v>0</v>
      </c>
      <c r="M26" s="806">
        <f t="shared" si="2"/>
        <v>0</v>
      </c>
      <c r="N26" s="806">
        <f t="shared" si="2"/>
        <v>0</v>
      </c>
      <c r="O26" s="806">
        <f t="shared" si="2"/>
        <v>0</v>
      </c>
      <c r="P26" s="806">
        <f t="shared" si="2"/>
        <v>0</v>
      </c>
      <c r="Q26" s="806">
        <f t="shared" si="2"/>
        <v>0</v>
      </c>
      <c r="R26" s="806">
        <f t="shared" si="2"/>
        <v>9446.1083448315258</v>
      </c>
      <c r="S26" s="67"/>
    </row>
    <row r="27" spans="1:19" s="445" customFormat="1" ht="17.25" thickTop="1" thickBot="1">
      <c r="A27" s="691" t="s">
        <v>115</v>
      </c>
      <c r="B27" s="798"/>
      <c r="C27" s="692">
        <f ca="1">C22+C16+C26</f>
        <v>142666.68309937094</v>
      </c>
      <c r="D27" s="692">
        <f t="shared" ref="D27:R27" ca="1" si="3">D22+D16+D26</f>
        <v>7714.2857142857147</v>
      </c>
      <c r="E27" s="692">
        <f t="shared" ca="1" si="3"/>
        <v>212659.36571302218</v>
      </c>
      <c r="F27" s="692">
        <f t="shared" si="3"/>
        <v>3070.5441373489084</v>
      </c>
      <c r="G27" s="692">
        <f t="shared" ca="1" si="3"/>
        <v>53767.481602290572</v>
      </c>
      <c r="H27" s="692">
        <f t="shared" si="3"/>
        <v>87946.303514495681</v>
      </c>
      <c r="I27" s="692">
        <f t="shared" si="3"/>
        <v>20883.317993117365</v>
      </c>
      <c r="J27" s="692">
        <f t="shared" si="3"/>
        <v>0</v>
      </c>
      <c r="K27" s="692">
        <f t="shared" si="3"/>
        <v>370.11163558477233</v>
      </c>
      <c r="L27" s="692">
        <f t="shared" si="3"/>
        <v>0</v>
      </c>
      <c r="M27" s="692">
        <f t="shared" ca="1" si="3"/>
        <v>0</v>
      </c>
      <c r="N27" s="692">
        <f t="shared" si="3"/>
        <v>6402.6170635692297</v>
      </c>
      <c r="O27" s="692">
        <f t="shared" ca="1" si="3"/>
        <v>14576.003489394918</v>
      </c>
      <c r="P27" s="692">
        <f t="shared" si="3"/>
        <v>465.0502980983797</v>
      </c>
      <c r="Q27" s="692">
        <f t="shared" si="3"/>
        <v>831.52949414746627</v>
      </c>
      <c r="R27" s="692">
        <f t="shared" ca="1" si="3"/>
        <v>551353.29375472618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7130.4071382952825</v>
      </c>
      <c r="D40" s="682">
        <f ca="1">tertiair!C20</f>
        <v>0</v>
      </c>
      <c r="E40" s="682">
        <f ca="1">tertiair!D20</f>
        <v>9309.2910345653054</v>
      </c>
      <c r="F40" s="682">
        <f>tertiair!E20</f>
        <v>20.684601094976863</v>
      </c>
      <c r="G40" s="682">
        <f ca="1">tertiair!F20</f>
        <v>1348.3529882727044</v>
      </c>
      <c r="H40" s="682">
        <f>tertiair!G20</f>
        <v>0</v>
      </c>
      <c r="I40" s="682">
        <f>tertiair!H20</f>
        <v>0</v>
      </c>
      <c r="J40" s="682">
        <f>tertiair!I20</f>
        <v>0</v>
      </c>
      <c r="K40" s="682">
        <f>tertiair!J20</f>
        <v>1.2234031330451077E-2</v>
      </c>
      <c r="L40" s="682">
        <f>tertiair!K20</f>
        <v>0</v>
      </c>
      <c r="M40" s="682">
        <f ca="1">tertiair!L20</f>
        <v>0</v>
      </c>
      <c r="N40" s="682">
        <f>tertiair!M20</f>
        <v>0</v>
      </c>
      <c r="O40" s="682">
        <f ca="1">tertiair!N20</f>
        <v>0</v>
      </c>
      <c r="P40" s="682">
        <f>tertiair!O20</f>
        <v>0</v>
      </c>
      <c r="Q40" s="765">
        <f>tertiair!P20</f>
        <v>0</v>
      </c>
      <c r="R40" s="844">
        <f t="shared" ca="1" si="4"/>
        <v>17808.747996259604</v>
      </c>
    </row>
    <row r="41" spans="1:18">
      <c r="A41" s="816" t="s">
        <v>220</v>
      </c>
      <c r="B41" s="823"/>
      <c r="C41" s="682">
        <f ca="1">huishoudens!B12</f>
        <v>7217.2300346768488</v>
      </c>
      <c r="D41" s="682">
        <f ca="1">huishoudens!C12</f>
        <v>0</v>
      </c>
      <c r="E41" s="682">
        <f>huishoudens!D12</f>
        <v>19135.267355189331</v>
      </c>
      <c r="F41" s="682">
        <f>huishoudens!E12</f>
        <v>299.67015274202481</v>
      </c>
      <c r="G41" s="682">
        <f>huishoudens!F12</f>
        <v>8006.0856511319662</v>
      </c>
      <c r="H41" s="682">
        <f>huishoudens!G12</f>
        <v>0</v>
      </c>
      <c r="I41" s="682">
        <f>huishoudens!H12</f>
        <v>0</v>
      </c>
      <c r="J41" s="682">
        <f>huishoudens!I12</f>
        <v>0</v>
      </c>
      <c r="K41" s="682">
        <f>huishoudens!J12</f>
        <v>53.104104452172145</v>
      </c>
      <c r="L41" s="682">
        <f>huishoudens!K12</f>
        <v>0</v>
      </c>
      <c r="M41" s="682">
        <f>huishoudens!L12</f>
        <v>0</v>
      </c>
      <c r="N41" s="682">
        <f>huishoudens!M12</f>
        <v>0</v>
      </c>
      <c r="O41" s="682">
        <f>huishoudens!N12</f>
        <v>0</v>
      </c>
      <c r="P41" s="682">
        <f>huishoudens!O12</f>
        <v>0</v>
      </c>
      <c r="Q41" s="765">
        <f>huishoudens!P12</f>
        <v>0</v>
      </c>
      <c r="R41" s="844">
        <f t="shared" ca="1" si="4"/>
        <v>34711.357298192343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13398.122026986279</v>
      </c>
      <c r="D43" s="682">
        <f ca="1">industrie!C22</f>
        <v>1833.2773109243701</v>
      </c>
      <c r="E43" s="682">
        <f>industrie!D22</f>
        <v>13708.862639996192</v>
      </c>
      <c r="F43" s="682">
        <f>industrie!E22</f>
        <v>326.70584850116654</v>
      </c>
      <c r="G43" s="682">
        <f>industrie!F22</f>
        <v>4279.261639338104</v>
      </c>
      <c r="H43" s="682">
        <f>industrie!G22</f>
        <v>0</v>
      </c>
      <c r="I43" s="682">
        <f>industrie!H22</f>
        <v>0</v>
      </c>
      <c r="J43" s="682">
        <f>industrie!I22</f>
        <v>0</v>
      </c>
      <c r="K43" s="682">
        <f>industrie!J22</f>
        <v>0.4276079061417512</v>
      </c>
      <c r="L43" s="682">
        <f>industrie!K22</f>
        <v>0</v>
      </c>
      <c r="M43" s="682">
        <f>industrie!L22</f>
        <v>0</v>
      </c>
      <c r="N43" s="682">
        <f>industrie!M22</f>
        <v>0</v>
      </c>
      <c r="O43" s="682">
        <f>industrie!N22</f>
        <v>0</v>
      </c>
      <c r="P43" s="682">
        <f>industrie!O22</f>
        <v>0</v>
      </c>
      <c r="Q43" s="765">
        <f>industrie!P22</f>
        <v>0</v>
      </c>
      <c r="R43" s="843">
        <f t="shared" ca="1" si="4"/>
        <v>33546.657073652248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27745.759199958411</v>
      </c>
      <c r="D46" s="718">
        <f t="shared" ref="D46:Q46" ca="1" si="5">SUM(D39:D45)</f>
        <v>1833.2773109243701</v>
      </c>
      <c r="E46" s="718">
        <f t="shared" ca="1" si="5"/>
        <v>42153.421029750833</v>
      </c>
      <c r="F46" s="718">
        <f t="shared" si="5"/>
        <v>647.06060233816822</v>
      </c>
      <c r="G46" s="718">
        <f t="shared" ca="1" si="5"/>
        <v>13633.700278742774</v>
      </c>
      <c r="H46" s="718">
        <f t="shared" si="5"/>
        <v>0</v>
      </c>
      <c r="I46" s="718">
        <f t="shared" si="5"/>
        <v>0</v>
      </c>
      <c r="J46" s="718">
        <f t="shared" si="5"/>
        <v>0</v>
      </c>
      <c r="K46" s="718">
        <f t="shared" si="5"/>
        <v>53.543946389644347</v>
      </c>
      <c r="L46" s="718">
        <f t="shared" si="5"/>
        <v>0</v>
      </c>
      <c r="M46" s="718">
        <f t="shared" ca="1" si="5"/>
        <v>0</v>
      </c>
      <c r="N46" s="718">
        <f t="shared" si="5"/>
        <v>0</v>
      </c>
      <c r="O46" s="718">
        <f t="shared" ca="1" si="5"/>
        <v>0</v>
      </c>
      <c r="P46" s="718">
        <f t="shared" si="5"/>
        <v>0</v>
      </c>
      <c r="Q46" s="718">
        <f t="shared" si="5"/>
        <v>0</v>
      </c>
      <c r="R46" s="718">
        <f ca="1">SUM(R39:R45)</f>
        <v>86066.762368104188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1.5813161987867279</v>
      </c>
      <c r="D49" s="682">
        <f ca="1">transport!C58</f>
        <v>0</v>
      </c>
      <c r="E49" s="682">
        <f>transport!D58</f>
        <v>0</v>
      </c>
      <c r="F49" s="682">
        <f>transport!E58</f>
        <v>0</v>
      </c>
      <c r="G49" s="682">
        <f>transport!F58</f>
        <v>0</v>
      </c>
      <c r="H49" s="682">
        <f>transport!G58</f>
        <v>151.64751479751325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153.22883099629999</v>
      </c>
    </row>
    <row r="50" spans="1:18">
      <c r="A50" s="819" t="s">
        <v>302</v>
      </c>
      <c r="B50" s="829"/>
      <c r="C50" s="688">
        <f ca="1">transport!B18</f>
        <v>37.009876658819671</v>
      </c>
      <c r="D50" s="688">
        <f>transport!C18</f>
        <v>0</v>
      </c>
      <c r="E50" s="688">
        <f>transport!D18</f>
        <v>69.479431351460477</v>
      </c>
      <c r="F50" s="688">
        <f>transport!E18</f>
        <v>42.894977523193447</v>
      </c>
      <c r="G50" s="688">
        <f>transport!F18</f>
        <v>0</v>
      </c>
      <c r="H50" s="688">
        <f>transport!G18</f>
        <v>23330.015523572834</v>
      </c>
      <c r="I50" s="688">
        <f>transport!H18</f>
        <v>5199.9461802862243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28679.345989392532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38.591192857606401</v>
      </c>
      <c r="D52" s="718">
        <f t="shared" ref="D52:Q52" ca="1" si="6">SUM(D48:D51)</f>
        <v>0</v>
      </c>
      <c r="E52" s="718">
        <f t="shared" si="6"/>
        <v>69.479431351460477</v>
      </c>
      <c r="F52" s="718">
        <f t="shared" si="6"/>
        <v>42.894977523193447</v>
      </c>
      <c r="G52" s="718">
        <f t="shared" si="6"/>
        <v>0</v>
      </c>
      <c r="H52" s="718">
        <f t="shared" si="6"/>
        <v>23481.663038370349</v>
      </c>
      <c r="I52" s="718">
        <f t="shared" si="6"/>
        <v>5199.9461802862243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28832.574820388832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165.68542870532684</v>
      </c>
      <c r="D54" s="688">
        <f ca="1">+landbouw!C12</f>
        <v>0</v>
      </c>
      <c r="E54" s="688">
        <f>+landbouw!D12</f>
        <v>154.38418380982341</v>
      </c>
      <c r="F54" s="688">
        <f>+landbouw!E12</f>
        <v>7.0579393168405407</v>
      </c>
      <c r="G54" s="688">
        <f>+landbouw!F12</f>
        <v>722.2173090688093</v>
      </c>
      <c r="H54" s="688">
        <f>+landbouw!G12</f>
        <v>0</v>
      </c>
      <c r="I54" s="688">
        <f>+landbouw!H12</f>
        <v>0</v>
      </c>
      <c r="J54" s="688">
        <f>+landbouw!I12</f>
        <v>0</v>
      </c>
      <c r="K54" s="688">
        <f>+landbouw!J12</f>
        <v>77.475572607365066</v>
      </c>
      <c r="L54" s="688">
        <f>+landbouw!K12</f>
        <v>0</v>
      </c>
      <c r="M54" s="688">
        <f>+landbouw!L12</f>
        <v>0</v>
      </c>
      <c r="N54" s="688">
        <f>+landbouw!M12</f>
        <v>0</v>
      </c>
      <c r="O54" s="688">
        <f>+landbouw!N12</f>
        <v>0</v>
      </c>
      <c r="P54" s="688">
        <f>+landbouw!O12</f>
        <v>0</v>
      </c>
      <c r="Q54" s="689">
        <f>+landbouw!P12</f>
        <v>0</v>
      </c>
      <c r="R54" s="717">
        <f ca="1">SUM(C54:Q54)</f>
        <v>1126.8204335081653</v>
      </c>
    </row>
    <row r="55" spans="1:18" ht="15" thickBot="1">
      <c r="A55" s="819" t="s">
        <v>703</v>
      </c>
      <c r="B55" s="829"/>
      <c r="C55" s="688">
        <f ca="1">C25*'EF ele_warmte'!B12</f>
        <v>401.90691341559568</v>
      </c>
      <c r="D55" s="688"/>
      <c r="E55" s="688">
        <f>E25*EF_CO2_aardgas</f>
        <v>579.90722911837133</v>
      </c>
      <c r="F55" s="688"/>
      <c r="G55" s="688"/>
      <c r="H55" s="688"/>
      <c r="I55" s="688"/>
      <c r="J55" s="688"/>
      <c r="K55" s="688"/>
      <c r="L55" s="688"/>
      <c r="M55" s="688"/>
      <c r="N55" s="688"/>
      <c r="O55" s="688"/>
      <c r="P55" s="688"/>
      <c r="Q55" s="689"/>
      <c r="R55" s="717">
        <f ca="1">SUM(C55:Q55)</f>
        <v>981.81414253396701</v>
      </c>
    </row>
    <row r="56" spans="1:18" ht="15.75" thickBot="1">
      <c r="A56" s="817" t="s">
        <v>704</v>
      </c>
      <c r="B56" s="830"/>
      <c r="C56" s="718">
        <f ca="1">SUM(C54:C55)</f>
        <v>567.59234212092247</v>
      </c>
      <c r="D56" s="718">
        <f t="shared" ref="D56:Q56" ca="1" si="7">SUM(D54:D55)</f>
        <v>0</v>
      </c>
      <c r="E56" s="718">
        <f t="shared" si="7"/>
        <v>734.29141292819475</v>
      </c>
      <c r="F56" s="718">
        <f t="shared" si="7"/>
        <v>7.0579393168405407</v>
      </c>
      <c r="G56" s="718">
        <f t="shared" si="7"/>
        <v>722.2173090688093</v>
      </c>
      <c r="H56" s="718">
        <f t="shared" si="7"/>
        <v>0</v>
      </c>
      <c r="I56" s="718">
        <f t="shared" si="7"/>
        <v>0</v>
      </c>
      <c r="J56" s="718">
        <f t="shared" si="7"/>
        <v>0</v>
      </c>
      <c r="K56" s="718">
        <f t="shared" si="7"/>
        <v>77.475572607365066</v>
      </c>
      <c r="L56" s="718">
        <f t="shared" si="7"/>
        <v>0</v>
      </c>
      <c r="M56" s="718">
        <f t="shared" si="7"/>
        <v>0</v>
      </c>
      <c r="N56" s="718">
        <f t="shared" si="7"/>
        <v>0</v>
      </c>
      <c r="O56" s="718">
        <f t="shared" si="7"/>
        <v>0</v>
      </c>
      <c r="P56" s="718">
        <f t="shared" si="7"/>
        <v>0</v>
      </c>
      <c r="Q56" s="719">
        <f t="shared" si="7"/>
        <v>0</v>
      </c>
      <c r="R56" s="720">
        <f ca="1">SUM(R54:R55)</f>
        <v>2108.6345760421323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28351.94273493694</v>
      </c>
      <c r="D61" s="726">
        <f t="shared" ref="D61:Q61" ca="1" si="8">D46+D52+D56</f>
        <v>1833.2773109243701</v>
      </c>
      <c r="E61" s="726">
        <f t="shared" ca="1" si="8"/>
        <v>42957.191874030483</v>
      </c>
      <c r="F61" s="726">
        <f t="shared" si="8"/>
        <v>697.01351917820227</v>
      </c>
      <c r="G61" s="726">
        <f t="shared" ca="1" si="8"/>
        <v>14355.917587811582</v>
      </c>
      <c r="H61" s="726">
        <f t="shared" si="8"/>
        <v>23481.663038370349</v>
      </c>
      <c r="I61" s="726">
        <f t="shared" si="8"/>
        <v>5199.9461802862243</v>
      </c>
      <c r="J61" s="726">
        <f t="shared" si="8"/>
        <v>0</v>
      </c>
      <c r="K61" s="726">
        <f t="shared" si="8"/>
        <v>131.01951899700941</v>
      </c>
      <c r="L61" s="726">
        <f t="shared" si="8"/>
        <v>0</v>
      </c>
      <c r="M61" s="726">
        <f t="shared" ca="1" si="8"/>
        <v>0</v>
      </c>
      <c r="N61" s="726">
        <f t="shared" si="8"/>
        <v>0</v>
      </c>
      <c r="O61" s="726">
        <f t="shared" ca="1" si="8"/>
        <v>0</v>
      </c>
      <c r="P61" s="726">
        <f t="shared" si="8"/>
        <v>0</v>
      </c>
      <c r="Q61" s="726">
        <f t="shared" si="8"/>
        <v>0</v>
      </c>
      <c r="R61" s="726">
        <f ca="1">R46+R52+R56</f>
        <v>117007.97176453516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0.19872854768193562</v>
      </c>
      <c r="D63" s="772">
        <f t="shared" ca="1" si="9"/>
        <v>0.23764705882352943</v>
      </c>
      <c r="E63" s="964">
        <f t="shared" ca="1" si="9"/>
        <v>0.20200000000000001</v>
      </c>
      <c r="F63" s="772">
        <f t="shared" si="9"/>
        <v>0.22700000000000001</v>
      </c>
      <c r="G63" s="772">
        <f t="shared" ca="1" si="9"/>
        <v>0.26699999999999996</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14784.110170457488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5400</v>
      </c>
      <c r="D76" s="947">
        <f>'lokale energieproductie'!C8</f>
        <v>6352.9411764705892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1283.294117647059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14784.110170457488</v>
      </c>
      <c r="C78" s="744">
        <f>SUM(C72:C77)</f>
        <v>5400</v>
      </c>
      <c r="D78" s="745">
        <f t="shared" ref="D78:H78" si="10">SUM(D76:D77)</f>
        <v>6352.9411764705892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1283.294117647059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7714.2857142857147</v>
      </c>
      <c r="D87" s="768">
        <f>'lokale energieproductie'!C17</f>
        <v>9075.630252100842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1833.2773109243701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7714.2857142857147</v>
      </c>
      <c r="D90" s="744">
        <f t="shared" ref="D90:H90" si="12">SUM(D87:D89)</f>
        <v>9075.630252100842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1833.2773109243701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36317.027014296917</v>
      </c>
      <c r="C4" s="449">
        <f>huishoudens!C8</f>
        <v>0</v>
      </c>
      <c r="D4" s="449">
        <f>huishoudens!D8</f>
        <v>94729.046312818464</v>
      </c>
      <c r="E4" s="449">
        <f>huishoudens!E8</f>
        <v>1320.1328314626644</v>
      </c>
      <c r="F4" s="449">
        <f>huishoudens!F8</f>
        <v>29985.339517348188</v>
      </c>
      <c r="G4" s="449">
        <f>huishoudens!G8</f>
        <v>0</v>
      </c>
      <c r="H4" s="449">
        <f>huishoudens!H8</f>
        <v>0</v>
      </c>
      <c r="I4" s="449">
        <f>huishoudens!I8</f>
        <v>0</v>
      </c>
      <c r="J4" s="449">
        <f>huishoudens!J8</f>
        <v>150.01159449766143</v>
      </c>
      <c r="K4" s="449">
        <f>huishoudens!K8</f>
        <v>0</v>
      </c>
      <c r="L4" s="449">
        <f>huishoudens!L8</f>
        <v>0</v>
      </c>
      <c r="M4" s="449">
        <f>huishoudens!M8</f>
        <v>0</v>
      </c>
      <c r="N4" s="449">
        <f>huishoudens!N8</f>
        <v>11683.297396541677</v>
      </c>
      <c r="O4" s="449">
        <f>huishoudens!O8</f>
        <v>450.35851580085625</v>
      </c>
      <c r="P4" s="450">
        <f>huishoudens!P8</f>
        <v>568.83380261499121</v>
      </c>
      <c r="Q4" s="451">
        <f>SUM(B4:P4)</f>
        <v>175204.04698538143</v>
      </c>
    </row>
    <row r="5" spans="1:17">
      <c r="A5" s="448" t="s">
        <v>155</v>
      </c>
      <c r="B5" s="449">
        <f ca="1">tertiair!B16</f>
        <v>34298.591096178912</v>
      </c>
      <c r="C5" s="449">
        <f ca="1">tertiair!C16</f>
        <v>0</v>
      </c>
      <c r="D5" s="449">
        <f ca="1">tertiair!D16</f>
        <v>46085.599181016361</v>
      </c>
      <c r="E5" s="449">
        <f>tertiair!E16</f>
        <v>91.121590726770322</v>
      </c>
      <c r="F5" s="449">
        <f ca="1">tertiair!F16</f>
        <v>5050.0111920325999</v>
      </c>
      <c r="G5" s="449">
        <f>tertiair!G16</f>
        <v>0</v>
      </c>
      <c r="H5" s="449">
        <f>tertiair!H16</f>
        <v>0</v>
      </c>
      <c r="I5" s="449">
        <f>tertiair!I16</f>
        <v>0</v>
      </c>
      <c r="J5" s="449">
        <f>tertiair!J16</f>
        <v>3.4559410537997395E-2</v>
      </c>
      <c r="K5" s="449">
        <f>tertiair!K16</f>
        <v>0</v>
      </c>
      <c r="L5" s="449">
        <f ca="1">tertiair!L16</f>
        <v>0</v>
      </c>
      <c r="M5" s="449">
        <f>tertiair!M16</f>
        <v>0</v>
      </c>
      <c r="N5" s="449">
        <f ca="1">tertiair!N16</f>
        <v>1289.9449016783342</v>
      </c>
      <c r="O5" s="449">
        <f>tertiair!O16</f>
        <v>14.691782297523464</v>
      </c>
      <c r="P5" s="450">
        <f>tertiair!P16</f>
        <v>262.69569153247511</v>
      </c>
      <c r="Q5" s="448">
        <f t="shared" ref="Q5:Q14" ca="1" si="0">SUM(B5:P5)</f>
        <v>87092.689994873508</v>
      </c>
    </row>
    <row r="6" spans="1:17">
      <c r="A6" s="448" t="s">
        <v>193</v>
      </c>
      <c r="B6" s="449">
        <f>'openbare verlichting'!B8</f>
        <v>1581.5440000000001</v>
      </c>
      <c r="C6" s="449"/>
      <c r="D6" s="449"/>
      <c r="E6" s="449"/>
      <c r="F6" s="449"/>
      <c r="G6" s="449"/>
      <c r="H6" s="449"/>
      <c r="I6" s="449"/>
      <c r="J6" s="449"/>
      <c r="K6" s="449"/>
      <c r="L6" s="449"/>
      <c r="M6" s="449"/>
      <c r="N6" s="449"/>
      <c r="O6" s="449"/>
      <c r="P6" s="450"/>
      <c r="Q6" s="448">
        <f t="shared" si="0"/>
        <v>1581.5440000000001</v>
      </c>
    </row>
    <row r="7" spans="1:17">
      <c r="A7" s="448" t="s">
        <v>111</v>
      </c>
      <c r="B7" s="449">
        <f>landbouw!B8</f>
        <v>833.72736649042406</v>
      </c>
      <c r="C7" s="449">
        <f>landbouw!C8</f>
        <v>0</v>
      </c>
      <c r="D7" s="449">
        <f>landbouw!D8</f>
        <v>764.27813767239309</v>
      </c>
      <c r="E7" s="449">
        <f>landbouw!E8</f>
        <v>31.092243686522206</v>
      </c>
      <c r="F7" s="449">
        <f>landbouw!F8</f>
        <v>2704.9337418307464</v>
      </c>
      <c r="G7" s="449">
        <f>landbouw!G8</f>
        <v>0</v>
      </c>
      <c r="H7" s="449">
        <f>landbouw!H8</f>
        <v>0</v>
      </c>
      <c r="I7" s="449">
        <f>landbouw!I8</f>
        <v>0</v>
      </c>
      <c r="J7" s="449">
        <f>landbouw!J8</f>
        <v>218.85754973831939</v>
      </c>
      <c r="K7" s="449">
        <f>landbouw!K8</f>
        <v>0</v>
      </c>
      <c r="L7" s="449">
        <f>landbouw!L8</f>
        <v>0</v>
      </c>
      <c r="M7" s="449">
        <f>landbouw!M8</f>
        <v>0</v>
      </c>
      <c r="N7" s="449">
        <f>landbouw!N8</f>
        <v>0</v>
      </c>
      <c r="O7" s="449">
        <f>landbouw!O8</f>
        <v>0</v>
      </c>
      <c r="P7" s="450">
        <f>landbouw!P8</f>
        <v>0</v>
      </c>
      <c r="Q7" s="448">
        <f t="shared" si="0"/>
        <v>4552.8890394184045</v>
      </c>
    </row>
    <row r="8" spans="1:17">
      <c r="A8" s="448" t="s">
        <v>618</v>
      </c>
      <c r="B8" s="449">
        <f>industrie!B18</f>
        <v>67419.211699921085</v>
      </c>
      <c r="C8" s="449">
        <f>industrie!C18</f>
        <v>7714.2857142857147</v>
      </c>
      <c r="D8" s="449">
        <f>industrie!D18</f>
        <v>67865.65663364451</v>
      </c>
      <c r="E8" s="449">
        <f>industrie!E18</f>
        <v>1439.2328127804692</v>
      </c>
      <c r="F8" s="449">
        <f>industrie!F18</f>
        <v>16027.197151079041</v>
      </c>
      <c r="G8" s="449">
        <f>industrie!G18</f>
        <v>0</v>
      </c>
      <c r="H8" s="449">
        <f>industrie!H18</f>
        <v>0</v>
      </c>
      <c r="I8" s="449">
        <f>industrie!I18</f>
        <v>0</v>
      </c>
      <c r="J8" s="449">
        <f>industrie!J18</f>
        <v>1.2079319382535345</v>
      </c>
      <c r="K8" s="449">
        <f>industrie!K18</f>
        <v>0</v>
      </c>
      <c r="L8" s="449">
        <f>industrie!L18</f>
        <v>0</v>
      </c>
      <c r="M8" s="449">
        <f>industrie!M18</f>
        <v>0</v>
      </c>
      <c r="N8" s="449">
        <f>industrie!N18</f>
        <v>1602.7611911749063</v>
      </c>
      <c r="O8" s="449">
        <f>industrie!O18</f>
        <v>0</v>
      </c>
      <c r="P8" s="450">
        <f>industrie!P18</f>
        <v>0</v>
      </c>
      <c r="Q8" s="448">
        <f t="shared" si="0"/>
        <v>162069.553134824</v>
      </c>
    </row>
    <row r="9" spans="1:17" s="454" customFormat="1">
      <c r="A9" s="452" t="s">
        <v>544</v>
      </c>
      <c r="B9" s="453">
        <f>transport!B14</f>
        <v>186.23331720842572</v>
      </c>
      <c r="C9" s="453">
        <f>transport!C14</f>
        <v>0</v>
      </c>
      <c r="D9" s="453">
        <f>transport!D14</f>
        <v>343.95758094782411</v>
      </c>
      <c r="E9" s="453">
        <f>transport!E14</f>
        <v>188.96465869248215</v>
      </c>
      <c r="F9" s="453">
        <f>transport!F14</f>
        <v>0</v>
      </c>
      <c r="G9" s="453">
        <f>transport!G14</f>
        <v>87378.335294280274</v>
      </c>
      <c r="H9" s="453">
        <f>transport!H14</f>
        <v>20883.317993117365</v>
      </c>
      <c r="I9" s="453">
        <f>transport!I14</f>
        <v>0</v>
      </c>
      <c r="J9" s="453">
        <f>transport!J14</f>
        <v>0</v>
      </c>
      <c r="K9" s="453">
        <f>transport!K14</f>
        <v>0</v>
      </c>
      <c r="L9" s="453">
        <f>transport!L14</f>
        <v>0</v>
      </c>
      <c r="M9" s="453">
        <f>transport!M14</f>
        <v>6371.2546570988525</v>
      </c>
      <c r="N9" s="453">
        <f>transport!N14</f>
        <v>0</v>
      </c>
      <c r="O9" s="453">
        <f>transport!O14</f>
        <v>0</v>
      </c>
      <c r="P9" s="453">
        <f>transport!P14</f>
        <v>0</v>
      </c>
      <c r="Q9" s="452">
        <f>SUM(B9:P9)</f>
        <v>115352.06350134523</v>
      </c>
    </row>
    <row r="10" spans="1:17">
      <c r="A10" s="448" t="s">
        <v>534</v>
      </c>
      <c r="B10" s="449">
        <f>transport!B54</f>
        <v>7.9571667847018093</v>
      </c>
      <c r="C10" s="449">
        <f>transport!C54</f>
        <v>0</v>
      </c>
      <c r="D10" s="449">
        <f>transport!D54</f>
        <v>0</v>
      </c>
      <c r="E10" s="449">
        <f>transport!E54</f>
        <v>0</v>
      </c>
      <c r="F10" s="449">
        <f>transport!F54</f>
        <v>0</v>
      </c>
      <c r="G10" s="449">
        <f>transport!G54</f>
        <v>567.96822021540538</v>
      </c>
      <c r="H10" s="449">
        <f>transport!H54</f>
        <v>0</v>
      </c>
      <c r="I10" s="449">
        <f>transport!I54</f>
        <v>0</v>
      </c>
      <c r="J10" s="449">
        <f>transport!J54</f>
        <v>0</v>
      </c>
      <c r="K10" s="449">
        <f>transport!K54</f>
        <v>0</v>
      </c>
      <c r="L10" s="449">
        <f>transport!L54</f>
        <v>0</v>
      </c>
      <c r="M10" s="449">
        <f>transport!M54</f>
        <v>31.362406470377266</v>
      </c>
      <c r="N10" s="449">
        <f>transport!N54</f>
        <v>0</v>
      </c>
      <c r="O10" s="449">
        <f>transport!O54</f>
        <v>0</v>
      </c>
      <c r="P10" s="450">
        <f>transport!P54</f>
        <v>0</v>
      </c>
      <c r="Q10" s="448">
        <f t="shared" si="0"/>
        <v>607.28779347048453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2022.3914384904899</v>
      </c>
      <c r="C14" s="456"/>
      <c r="D14" s="456">
        <f>'SEAP template'!E25</f>
        <v>2870.8278669226302</v>
      </c>
      <c r="E14" s="456"/>
      <c r="F14" s="456"/>
      <c r="G14" s="456"/>
      <c r="H14" s="456"/>
      <c r="I14" s="456"/>
      <c r="J14" s="456"/>
      <c r="K14" s="456"/>
      <c r="L14" s="456"/>
      <c r="M14" s="456"/>
      <c r="N14" s="456"/>
      <c r="O14" s="456"/>
      <c r="P14" s="457"/>
      <c r="Q14" s="448">
        <f t="shared" si="0"/>
        <v>4893.2193054131203</v>
      </c>
    </row>
    <row r="15" spans="1:17" s="460" customFormat="1">
      <c r="A15" s="458" t="s">
        <v>538</v>
      </c>
      <c r="B15" s="459">
        <f ca="1">SUM(B4:B14)</f>
        <v>142666.68309937094</v>
      </c>
      <c r="C15" s="459">
        <f t="shared" ref="C15:Q15" ca="1" si="1">SUM(C4:C14)</f>
        <v>7714.2857142857147</v>
      </c>
      <c r="D15" s="459">
        <f t="shared" ca="1" si="1"/>
        <v>212659.36571302218</v>
      </c>
      <c r="E15" s="459">
        <f t="shared" si="1"/>
        <v>3070.5441373489084</v>
      </c>
      <c r="F15" s="459">
        <f t="shared" ca="1" si="1"/>
        <v>53767.481602290572</v>
      </c>
      <c r="G15" s="459">
        <f t="shared" si="1"/>
        <v>87946.303514495681</v>
      </c>
      <c r="H15" s="459">
        <f t="shared" si="1"/>
        <v>20883.317993117365</v>
      </c>
      <c r="I15" s="459">
        <f t="shared" si="1"/>
        <v>0</v>
      </c>
      <c r="J15" s="459">
        <f t="shared" si="1"/>
        <v>370.11163558477233</v>
      </c>
      <c r="K15" s="459">
        <f t="shared" si="1"/>
        <v>0</v>
      </c>
      <c r="L15" s="459">
        <f t="shared" ca="1" si="1"/>
        <v>0</v>
      </c>
      <c r="M15" s="459">
        <f t="shared" si="1"/>
        <v>6402.6170635692297</v>
      </c>
      <c r="N15" s="459">
        <f t="shared" ca="1" si="1"/>
        <v>14576.003489394918</v>
      </c>
      <c r="O15" s="459">
        <f t="shared" si="1"/>
        <v>465.0502980983797</v>
      </c>
      <c r="P15" s="459">
        <f t="shared" si="1"/>
        <v>831.52949414746627</v>
      </c>
      <c r="Q15" s="459">
        <f t="shared" ca="1" si="1"/>
        <v>551353.29375472607</v>
      </c>
    </row>
    <row r="17" spans="1:17">
      <c r="A17" s="461" t="s">
        <v>539</v>
      </c>
      <c r="B17" s="777">
        <f ca="1">huishoudens!B10</f>
        <v>0.19872854768193562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7217.2300346768488</v>
      </c>
      <c r="C22" s="449">
        <f t="shared" ref="C22:C32" ca="1" si="3">C4*$C$17</f>
        <v>0</v>
      </c>
      <c r="D22" s="449">
        <f t="shared" ref="D22:D32" si="4">D4*$D$17</f>
        <v>19135.267355189331</v>
      </c>
      <c r="E22" s="449">
        <f t="shared" ref="E22:E32" si="5">E4*$E$17</f>
        <v>299.67015274202481</v>
      </c>
      <c r="F22" s="449">
        <f t="shared" ref="F22:F32" si="6">F4*$F$17</f>
        <v>8006.0856511319662</v>
      </c>
      <c r="G22" s="449">
        <f t="shared" ref="G22:G32" si="7">G4*$G$17</f>
        <v>0</v>
      </c>
      <c r="H22" s="449">
        <f t="shared" ref="H22:H32" si="8">H4*$H$17</f>
        <v>0</v>
      </c>
      <c r="I22" s="449">
        <f t="shared" ref="I22:I32" si="9">I4*$I$17</f>
        <v>0</v>
      </c>
      <c r="J22" s="449">
        <f t="shared" ref="J22:J32" si="10">J4*$J$17</f>
        <v>53.104104452172145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34711.357298192343</v>
      </c>
    </row>
    <row r="23" spans="1:17">
      <c r="A23" s="448" t="s">
        <v>155</v>
      </c>
      <c r="B23" s="449">
        <f t="shared" ca="1" si="2"/>
        <v>6816.1091960802032</v>
      </c>
      <c r="C23" s="449">
        <f t="shared" ca="1" si="3"/>
        <v>0</v>
      </c>
      <c r="D23" s="449">
        <f t="shared" ca="1" si="4"/>
        <v>9309.2910345653054</v>
      </c>
      <c r="E23" s="449">
        <f t="shared" si="5"/>
        <v>20.684601094976863</v>
      </c>
      <c r="F23" s="449">
        <f t="shared" ca="1" si="6"/>
        <v>1348.3529882727044</v>
      </c>
      <c r="G23" s="449">
        <f t="shared" si="7"/>
        <v>0</v>
      </c>
      <c r="H23" s="449">
        <f t="shared" si="8"/>
        <v>0</v>
      </c>
      <c r="I23" s="449">
        <f t="shared" si="9"/>
        <v>0</v>
      </c>
      <c r="J23" s="449">
        <f t="shared" si="10"/>
        <v>1.2234031330451077E-2</v>
      </c>
      <c r="K23" s="449">
        <f t="shared" si="11"/>
        <v>0</v>
      </c>
      <c r="L23" s="449">
        <f t="shared" ca="1" si="12"/>
        <v>0</v>
      </c>
      <c r="M23" s="449">
        <f t="shared" si="13"/>
        <v>0</v>
      </c>
      <c r="N23" s="449">
        <f t="shared" ca="1" si="14"/>
        <v>0</v>
      </c>
      <c r="O23" s="449">
        <f t="shared" si="15"/>
        <v>0</v>
      </c>
      <c r="P23" s="450">
        <f t="shared" si="16"/>
        <v>0</v>
      </c>
      <c r="Q23" s="448">
        <f t="shared" ref="Q23:Q31" ca="1" si="17">SUM(B23:P23)</f>
        <v>17494.450054044522</v>
      </c>
    </row>
    <row r="24" spans="1:17">
      <c r="A24" s="448" t="s">
        <v>193</v>
      </c>
      <c r="B24" s="449">
        <f t="shared" ca="1" si="2"/>
        <v>314.29794221507922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314.29794221507922</v>
      </c>
    </row>
    <row r="25" spans="1:17">
      <c r="A25" s="448" t="s">
        <v>111</v>
      </c>
      <c r="B25" s="449">
        <f t="shared" ca="1" si="2"/>
        <v>165.68542870532684</v>
      </c>
      <c r="C25" s="449">
        <f t="shared" ca="1" si="3"/>
        <v>0</v>
      </c>
      <c r="D25" s="449">
        <f t="shared" si="4"/>
        <v>154.38418380982341</v>
      </c>
      <c r="E25" s="449">
        <f t="shared" si="5"/>
        <v>7.0579393168405407</v>
      </c>
      <c r="F25" s="449">
        <f t="shared" si="6"/>
        <v>722.2173090688093</v>
      </c>
      <c r="G25" s="449">
        <f t="shared" si="7"/>
        <v>0</v>
      </c>
      <c r="H25" s="449">
        <f t="shared" si="8"/>
        <v>0</v>
      </c>
      <c r="I25" s="449">
        <f t="shared" si="9"/>
        <v>0</v>
      </c>
      <c r="J25" s="449">
        <f t="shared" si="10"/>
        <v>77.475572607365066</v>
      </c>
      <c r="K25" s="449">
        <f t="shared" si="11"/>
        <v>0</v>
      </c>
      <c r="L25" s="449">
        <f t="shared" si="12"/>
        <v>0</v>
      </c>
      <c r="M25" s="449">
        <f t="shared" si="13"/>
        <v>0</v>
      </c>
      <c r="N25" s="449">
        <f t="shared" si="14"/>
        <v>0</v>
      </c>
      <c r="O25" s="449">
        <f t="shared" si="15"/>
        <v>0</v>
      </c>
      <c r="P25" s="450">
        <f t="shared" si="16"/>
        <v>0</v>
      </c>
      <c r="Q25" s="448">
        <f t="shared" ca="1" si="17"/>
        <v>1126.8204335081653</v>
      </c>
    </row>
    <row r="26" spans="1:17">
      <c r="A26" s="448" t="s">
        <v>618</v>
      </c>
      <c r="B26" s="449">
        <f t="shared" ca="1" si="2"/>
        <v>13398.122026986279</v>
      </c>
      <c r="C26" s="449">
        <f t="shared" ca="1" si="3"/>
        <v>1833.2773109243701</v>
      </c>
      <c r="D26" s="449">
        <f t="shared" si="4"/>
        <v>13708.862639996192</v>
      </c>
      <c r="E26" s="449">
        <f t="shared" si="5"/>
        <v>326.70584850116654</v>
      </c>
      <c r="F26" s="449">
        <f t="shared" si="6"/>
        <v>4279.261639338104</v>
      </c>
      <c r="G26" s="449">
        <f t="shared" si="7"/>
        <v>0</v>
      </c>
      <c r="H26" s="449">
        <f t="shared" si="8"/>
        <v>0</v>
      </c>
      <c r="I26" s="449">
        <f t="shared" si="9"/>
        <v>0</v>
      </c>
      <c r="J26" s="449">
        <f t="shared" si="10"/>
        <v>0.4276079061417512</v>
      </c>
      <c r="K26" s="449">
        <f t="shared" si="11"/>
        <v>0</v>
      </c>
      <c r="L26" s="449">
        <f t="shared" si="12"/>
        <v>0</v>
      </c>
      <c r="M26" s="449">
        <f t="shared" si="13"/>
        <v>0</v>
      </c>
      <c r="N26" s="449">
        <f t="shared" si="14"/>
        <v>0</v>
      </c>
      <c r="O26" s="449">
        <f t="shared" si="15"/>
        <v>0</v>
      </c>
      <c r="P26" s="450">
        <f t="shared" si="16"/>
        <v>0</v>
      </c>
      <c r="Q26" s="448">
        <f t="shared" ca="1" si="17"/>
        <v>33546.657073652248</v>
      </c>
    </row>
    <row r="27" spans="1:17" s="454" customFormat="1">
      <c r="A27" s="452" t="s">
        <v>544</v>
      </c>
      <c r="B27" s="771">
        <f t="shared" ca="1" si="2"/>
        <v>37.009876658819671</v>
      </c>
      <c r="C27" s="453">
        <f t="shared" ca="1" si="3"/>
        <v>0</v>
      </c>
      <c r="D27" s="453">
        <f t="shared" si="4"/>
        <v>69.479431351460477</v>
      </c>
      <c r="E27" s="453">
        <f t="shared" si="5"/>
        <v>42.894977523193447</v>
      </c>
      <c r="F27" s="453">
        <f t="shared" si="6"/>
        <v>0</v>
      </c>
      <c r="G27" s="453">
        <f t="shared" si="7"/>
        <v>23330.015523572834</v>
      </c>
      <c r="H27" s="453">
        <f t="shared" si="8"/>
        <v>5199.9461802862243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28679.345989392532</v>
      </c>
    </row>
    <row r="28" spans="1:17" ht="16.5" customHeight="1">
      <c r="A28" s="448" t="s">
        <v>534</v>
      </c>
      <c r="B28" s="449">
        <f t="shared" ca="1" si="2"/>
        <v>1.5813161987867279</v>
      </c>
      <c r="C28" s="449">
        <f t="shared" ca="1" si="3"/>
        <v>0</v>
      </c>
      <c r="D28" s="449">
        <f t="shared" si="4"/>
        <v>0</v>
      </c>
      <c r="E28" s="449">
        <f t="shared" si="5"/>
        <v>0</v>
      </c>
      <c r="F28" s="449">
        <f t="shared" si="6"/>
        <v>0</v>
      </c>
      <c r="G28" s="449">
        <f t="shared" si="7"/>
        <v>151.64751479751325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153.22883099629999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401.90691341559568</v>
      </c>
      <c r="C32" s="449">
        <f t="shared" ca="1" si="3"/>
        <v>0</v>
      </c>
      <c r="D32" s="449">
        <f t="shared" si="4"/>
        <v>579.90722911837133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981.81414253396701</v>
      </c>
    </row>
    <row r="33" spans="1:17" s="460" customFormat="1">
      <c r="A33" s="458" t="s">
        <v>538</v>
      </c>
      <c r="B33" s="459">
        <f ca="1">SUM(B22:B32)</f>
        <v>28351.942734936936</v>
      </c>
      <c r="C33" s="459">
        <f t="shared" ref="C33:Q33" ca="1" si="19">SUM(C22:C32)</f>
        <v>1833.2773109243701</v>
      </c>
      <c r="D33" s="459">
        <f t="shared" ca="1" si="19"/>
        <v>42957.191874030483</v>
      </c>
      <c r="E33" s="459">
        <f t="shared" si="19"/>
        <v>697.01351917820227</v>
      </c>
      <c r="F33" s="459">
        <f t="shared" ca="1" si="19"/>
        <v>14355.917587811582</v>
      </c>
      <c r="G33" s="459">
        <f t="shared" si="19"/>
        <v>23481.663038370349</v>
      </c>
      <c r="H33" s="459">
        <f t="shared" si="19"/>
        <v>5199.9461802862243</v>
      </c>
      <c r="I33" s="459">
        <f t="shared" si="19"/>
        <v>0</v>
      </c>
      <c r="J33" s="459">
        <f t="shared" si="19"/>
        <v>131.01951899700941</v>
      </c>
      <c r="K33" s="459">
        <f t="shared" si="19"/>
        <v>0</v>
      </c>
      <c r="L33" s="459">
        <f t="shared" ca="1" si="19"/>
        <v>0</v>
      </c>
      <c r="M33" s="459">
        <f t="shared" si="19"/>
        <v>0</v>
      </c>
      <c r="N33" s="459">
        <f t="shared" ca="1" si="19"/>
        <v>0</v>
      </c>
      <c r="O33" s="459">
        <f t="shared" si="19"/>
        <v>0</v>
      </c>
      <c r="P33" s="459">
        <f t="shared" si="19"/>
        <v>0</v>
      </c>
      <c r="Q33" s="459">
        <f t="shared" ca="1" si="19"/>
        <v>117007.97176453516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14784.110170457488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5400</v>
      </c>
      <c r="D8" s="1015">
        <f>'SEAP template'!D76</f>
        <v>6352.9411764705892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1283.294117647059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14784.110170457488</v>
      </c>
      <c r="C10" s="1017">
        <f>SUM(C4:C9)</f>
        <v>5400</v>
      </c>
      <c r="D10" s="1017">
        <f t="shared" ref="D10:H10" si="0">SUM(D8:D9)</f>
        <v>6352.9411764705892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1283.294117647059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0.19872854768193562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7714.2857142857147</v>
      </c>
      <c r="D17" s="1016">
        <f>'SEAP template'!D87</f>
        <v>9075.630252100842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1833.2773109243701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7714.2857142857147</v>
      </c>
      <c r="D20" s="1017">
        <f t="shared" ref="D20:H20" si="2">SUM(D17:D19)</f>
        <v>9075.630252100842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1833.2773109243701</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0.19872854768193562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0.19872854768193562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0.19872854768193562</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9053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1302.1600000000001</v>
      </c>
      <c r="C14" s="326"/>
      <c r="D14" s="326"/>
      <c r="E14" s="326"/>
      <c r="F14" s="326"/>
    </row>
    <row r="15" spans="1:6">
      <c r="A15" s="1307" t="s">
        <v>183</v>
      </c>
      <c r="B15" s="1308">
        <v>4</v>
      </c>
      <c r="C15" s="326"/>
      <c r="D15" s="326"/>
      <c r="E15" s="326"/>
      <c r="F15" s="326"/>
    </row>
    <row r="16" spans="1:6">
      <c r="A16" s="1307" t="s">
        <v>6</v>
      </c>
      <c r="B16" s="1308">
        <v>274</v>
      </c>
      <c r="C16" s="326"/>
      <c r="D16" s="326"/>
      <c r="E16" s="326"/>
      <c r="F16" s="326"/>
    </row>
    <row r="17" spans="1:6">
      <c r="A17" s="1307" t="s">
        <v>7</v>
      </c>
      <c r="B17" s="1308">
        <v>75</v>
      </c>
      <c r="C17" s="326"/>
      <c r="D17" s="326"/>
      <c r="E17" s="326"/>
      <c r="F17" s="326"/>
    </row>
    <row r="18" spans="1:6">
      <c r="A18" s="1307" t="s">
        <v>8</v>
      </c>
      <c r="B18" s="1308">
        <v>320</v>
      </c>
      <c r="C18" s="326"/>
      <c r="D18" s="326"/>
      <c r="E18" s="326"/>
      <c r="F18" s="326"/>
    </row>
    <row r="19" spans="1:6">
      <c r="A19" s="1307" t="s">
        <v>9</v>
      </c>
      <c r="B19" s="1308">
        <v>399</v>
      </c>
      <c r="C19" s="326"/>
      <c r="D19" s="326"/>
      <c r="E19" s="326"/>
      <c r="F19" s="326"/>
    </row>
    <row r="20" spans="1:6">
      <c r="A20" s="1307" t="s">
        <v>10</v>
      </c>
      <c r="B20" s="1308">
        <v>253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2</v>
      </c>
      <c r="C24" s="326"/>
      <c r="D24" s="326"/>
      <c r="E24" s="326"/>
      <c r="F24" s="326"/>
    </row>
    <row r="25" spans="1:6">
      <c r="A25" s="1307" t="s">
        <v>15</v>
      </c>
      <c r="B25" s="1308">
        <v>0</v>
      </c>
      <c r="C25" s="326"/>
      <c r="D25" s="326"/>
      <c r="E25" s="326"/>
      <c r="F25" s="326"/>
    </row>
    <row r="26" spans="1:6">
      <c r="A26" s="1307" t="s">
        <v>16</v>
      </c>
      <c r="B26" s="1308">
        <v>249</v>
      </c>
      <c r="C26" s="326"/>
      <c r="D26" s="326"/>
      <c r="E26" s="326"/>
      <c r="F26" s="326"/>
    </row>
    <row r="27" spans="1:6">
      <c r="A27" s="1307" t="s">
        <v>17</v>
      </c>
      <c r="B27" s="1308">
        <v>5</v>
      </c>
      <c r="C27" s="326"/>
      <c r="D27" s="326"/>
      <c r="E27" s="326"/>
      <c r="F27" s="326"/>
    </row>
    <row r="28" spans="1:6" s="43" customFormat="1">
      <c r="A28" s="1309" t="s">
        <v>18</v>
      </c>
      <c r="B28" s="1310">
        <v>0</v>
      </c>
      <c r="C28" s="332"/>
      <c r="D28" s="332"/>
      <c r="E28" s="332"/>
      <c r="F28" s="332"/>
    </row>
    <row r="29" spans="1:6">
      <c r="A29" s="1309" t="s">
        <v>688</v>
      </c>
      <c r="B29" s="1310">
        <v>72</v>
      </c>
      <c r="C29" s="332"/>
      <c r="D29" s="332"/>
      <c r="E29" s="332"/>
      <c r="F29" s="332"/>
    </row>
    <row r="30" spans="1:6">
      <c r="A30" s="1302" t="s">
        <v>689</v>
      </c>
      <c r="B30" s="1311">
        <v>16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3644.7270526722</v>
      </c>
    </row>
    <row r="39" spans="1:6">
      <c r="A39" s="1307" t="s">
        <v>29</v>
      </c>
      <c r="B39" s="1307" t="s">
        <v>30</v>
      </c>
      <c r="C39" s="1308">
        <v>7235</v>
      </c>
      <c r="D39" s="1308">
        <v>104904813.19249</v>
      </c>
      <c r="E39" s="1308">
        <v>9196</v>
      </c>
      <c r="F39" s="1308">
        <v>30171643.796989601</v>
      </c>
    </row>
    <row r="40" spans="1:6">
      <c r="A40" s="1307" t="s">
        <v>29</v>
      </c>
      <c r="B40" s="1307" t="s">
        <v>28</v>
      </c>
      <c r="C40" s="1308">
        <v>0</v>
      </c>
      <c r="D40" s="1308">
        <v>0</v>
      </c>
      <c r="E40" s="1308">
        <v>0</v>
      </c>
      <c r="F40" s="1308">
        <v>0</v>
      </c>
    </row>
    <row r="41" spans="1:6">
      <c r="A41" s="1307" t="s">
        <v>31</v>
      </c>
      <c r="B41" s="1307" t="s">
        <v>32</v>
      </c>
      <c r="C41" s="1308">
        <v>90</v>
      </c>
      <c r="D41" s="1308">
        <v>9344883.4432497006</v>
      </c>
      <c r="E41" s="1308">
        <v>192</v>
      </c>
      <c r="F41" s="1308">
        <v>25507551.4317162</v>
      </c>
    </row>
    <row r="42" spans="1:6">
      <c r="A42" s="1307" t="s">
        <v>31</v>
      </c>
      <c r="B42" s="1307" t="s">
        <v>33</v>
      </c>
      <c r="C42" s="1308">
        <v>4</v>
      </c>
      <c r="D42" s="1308">
        <v>53901286.264753498</v>
      </c>
      <c r="E42" s="1308">
        <v>8</v>
      </c>
      <c r="F42" s="1308">
        <v>22815091.4471462</v>
      </c>
    </row>
    <row r="43" spans="1:6">
      <c r="A43" s="1307" t="s">
        <v>31</v>
      </c>
      <c r="B43" s="1307" t="s">
        <v>34</v>
      </c>
      <c r="C43" s="1308">
        <v>0</v>
      </c>
      <c r="D43" s="1308">
        <v>0</v>
      </c>
      <c r="E43" s="1308">
        <v>0</v>
      </c>
      <c r="F43" s="1308">
        <v>0</v>
      </c>
    </row>
    <row r="44" spans="1:6">
      <c r="A44" s="1307" t="s">
        <v>31</v>
      </c>
      <c r="B44" s="1307" t="s">
        <v>35</v>
      </c>
      <c r="C44" s="1308">
        <v>12</v>
      </c>
      <c r="D44" s="1308">
        <v>2429180.3698897902</v>
      </c>
      <c r="E44" s="1308">
        <v>29</v>
      </c>
      <c r="F44" s="1308">
        <v>1129698.2079428199</v>
      </c>
    </row>
    <row r="45" spans="1:6">
      <c r="A45" s="1307" t="s">
        <v>31</v>
      </c>
      <c r="B45" s="1307" t="s">
        <v>36</v>
      </c>
      <c r="C45" s="1308">
        <v>5</v>
      </c>
      <c r="D45" s="1308">
        <v>278455.020122013</v>
      </c>
      <c r="E45" s="1308">
        <v>6</v>
      </c>
      <c r="F45" s="1308">
        <v>1912457.47099488</v>
      </c>
    </row>
    <row r="46" spans="1:6">
      <c r="A46" s="1307" t="s">
        <v>31</v>
      </c>
      <c r="B46" s="1307" t="s">
        <v>37</v>
      </c>
      <c r="C46" s="1308">
        <v>0</v>
      </c>
      <c r="D46" s="1308">
        <v>0</v>
      </c>
      <c r="E46" s="1308">
        <v>0</v>
      </c>
      <c r="F46" s="1308">
        <v>0</v>
      </c>
    </row>
    <row r="47" spans="1:6">
      <c r="A47" s="1307" t="s">
        <v>31</v>
      </c>
      <c r="B47" s="1307" t="s">
        <v>38</v>
      </c>
      <c r="C47" s="1308">
        <v>6</v>
      </c>
      <c r="D47" s="1308">
        <v>497719.900338921</v>
      </c>
      <c r="E47" s="1308">
        <v>7</v>
      </c>
      <c r="F47" s="1308">
        <v>4607470.42156542</v>
      </c>
    </row>
    <row r="48" spans="1:6">
      <c r="A48" s="1307" t="s">
        <v>31</v>
      </c>
      <c r="B48" s="1307" t="s">
        <v>28</v>
      </c>
      <c r="C48" s="1308">
        <v>1</v>
      </c>
      <c r="D48" s="1308">
        <v>2465026.4087867402</v>
      </c>
      <c r="E48" s="1308">
        <v>2</v>
      </c>
      <c r="F48" s="1308">
        <v>38892</v>
      </c>
    </row>
    <row r="49" spans="1:6">
      <c r="A49" s="1307" t="s">
        <v>31</v>
      </c>
      <c r="B49" s="1307" t="s">
        <v>39</v>
      </c>
      <c r="C49" s="1308">
        <v>0</v>
      </c>
      <c r="D49" s="1308">
        <v>0</v>
      </c>
      <c r="E49" s="1308">
        <v>0</v>
      </c>
      <c r="F49" s="1308">
        <v>0</v>
      </c>
    </row>
    <row r="50" spans="1:6">
      <c r="A50" s="1307" t="s">
        <v>31</v>
      </c>
      <c r="B50" s="1307" t="s">
        <v>40</v>
      </c>
      <c r="C50" s="1308">
        <v>11</v>
      </c>
      <c r="D50" s="1308">
        <v>23325118.650684301</v>
      </c>
      <c r="E50" s="1308">
        <v>20</v>
      </c>
      <c r="F50" s="1308">
        <v>6008050.7205555597</v>
      </c>
    </row>
    <row r="51" spans="1:6">
      <c r="A51" s="1307" t="s">
        <v>41</v>
      </c>
      <c r="B51" s="1307" t="s">
        <v>42</v>
      </c>
      <c r="C51" s="1308">
        <v>12</v>
      </c>
      <c r="D51" s="1308">
        <v>846376.67516322597</v>
      </c>
      <c r="E51" s="1308">
        <v>41</v>
      </c>
      <c r="F51" s="1308">
        <v>833727.36649042403</v>
      </c>
    </row>
    <row r="52" spans="1:6">
      <c r="A52" s="1307" t="s">
        <v>41</v>
      </c>
      <c r="B52" s="1307" t="s">
        <v>28</v>
      </c>
      <c r="C52" s="1308">
        <v>0</v>
      </c>
      <c r="D52" s="1308">
        <v>0</v>
      </c>
      <c r="E52" s="1308">
        <v>0</v>
      </c>
      <c r="F52" s="1308">
        <v>0</v>
      </c>
    </row>
    <row r="53" spans="1:6">
      <c r="A53" s="1307" t="s">
        <v>43</v>
      </c>
      <c r="B53" s="1307" t="s">
        <v>44</v>
      </c>
      <c r="C53" s="1308">
        <v>165</v>
      </c>
      <c r="D53" s="1308">
        <v>2870827.86692263</v>
      </c>
      <c r="E53" s="1308">
        <v>340</v>
      </c>
      <c r="F53" s="1308">
        <v>2022391.43849049</v>
      </c>
    </row>
    <row r="54" spans="1:6">
      <c r="A54" s="1307" t="s">
        <v>45</v>
      </c>
      <c r="B54" s="1307" t="s">
        <v>46</v>
      </c>
      <c r="C54" s="1308">
        <v>0</v>
      </c>
      <c r="D54" s="1308">
        <v>0</v>
      </c>
      <c r="E54" s="1308">
        <v>1</v>
      </c>
      <c r="F54" s="1308">
        <v>1581544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73</v>
      </c>
      <c r="D57" s="1308">
        <v>5672504.9512146199</v>
      </c>
      <c r="E57" s="1308">
        <v>108</v>
      </c>
      <c r="F57" s="1308">
        <v>3499396.5223322702</v>
      </c>
    </row>
    <row r="58" spans="1:6">
      <c r="A58" s="1307" t="s">
        <v>48</v>
      </c>
      <c r="B58" s="1307" t="s">
        <v>50</v>
      </c>
      <c r="C58" s="1308">
        <v>63</v>
      </c>
      <c r="D58" s="1308">
        <v>8851012.3356544208</v>
      </c>
      <c r="E58" s="1308">
        <v>69</v>
      </c>
      <c r="F58" s="1308">
        <v>3865783.3396202498</v>
      </c>
    </row>
    <row r="59" spans="1:6">
      <c r="A59" s="1307" t="s">
        <v>48</v>
      </c>
      <c r="B59" s="1307" t="s">
        <v>51</v>
      </c>
      <c r="C59" s="1308">
        <v>174</v>
      </c>
      <c r="D59" s="1308">
        <v>14468381.2652427</v>
      </c>
      <c r="E59" s="1308">
        <v>263</v>
      </c>
      <c r="F59" s="1308">
        <v>10772333.1207442</v>
      </c>
    </row>
    <row r="60" spans="1:6">
      <c r="A60" s="1307" t="s">
        <v>48</v>
      </c>
      <c r="B60" s="1307" t="s">
        <v>52</v>
      </c>
      <c r="C60" s="1308">
        <v>69</v>
      </c>
      <c r="D60" s="1308">
        <v>4245873.2493734704</v>
      </c>
      <c r="E60" s="1308">
        <v>84</v>
      </c>
      <c r="F60" s="1308">
        <v>2648683.9390569599</v>
      </c>
    </row>
    <row r="61" spans="1:6">
      <c r="A61" s="1307" t="s">
        <v>48</v>
      </c>
      <c r="B61" s="1307" t="s">
        <v>53</v>
      </c>
      <c r="C61" s="1308">
        <v>274</v>
      </c>
      <c r="D61" s="1308">
        <v>15716646.2101388</v>
      </c>
      <c r="E61" s="1308">
        <v>595</v>
      </c>
      <c r="F61" s="1308">
        <v>13121690.3093946</v>
      </c>
    </row>
    <row r="62" spans="1:6">
      <c r="A62" s="1307" t="s">
        <v>48</v>
      </c>
      <c r="B62" s="1307" t="s">
        <v>54</v>
      </c>
      <c r="C62" s="1308">
        <v>22</v>
      </c>
      <c r="D62" s="1308">
        <v>2081682.96403088</v>
      </c>
      <c r="E62" s="1308">
        <v>29</v>
      </c>
      <c r="F62" s="1308">
        <v>390703.86503063003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54395.092759709798</v>
      </c>
      <c r="E65" s="1308">
        <v>0</v>
      </c>
      <c r="F65" s="1308">
        <v>0</v>
      </c>
    </row>
    <row r="66" spans="1:6">
      <c r="A66" s="1307" t="s">
        <v>55</v>
      </c>
      <c r="B66" s="1307" t="s">
        <v>57</v>
      </c>
      <c r="C66" s="1308">
        <v>0</v>
      </c>
      <c r="D66" s="1308">
        <v>0</v>
      </c>
      <c r="E66" s="1308">
        <v>7</v>
      </c>
      <c r="F66" s="1308">
        <v>331141.16019151802</v>
      </c>
    </row>
    <row r="67" spans="1:6">
      <c r="A67" s="1309" t="s">
        <v>55</v>
      </c>
      <c r="B67" s="1309" t="s">
        <v>58</v>
      </c>
      <c r="C67" s="1308">
        <v>0</v>
      </c>
      <c r="D67" s="1308">
        <v>0</v>
      </c>
      <c r="E67" s="1308">
        <v>0</v>
      </c>
      <c r="F67" s="1308">
        <v>0</v>
      </c>
    </row>
    <row r="68" spans="1:6">
      <c r="A68" s="1302" t="s">
        <v>55</v>
      </c>
      <c r="B68" s="1302" t="s">
        <v>59</v>
      </c>
      <c r="C68" s="1311">
        <v>9</v>
      </c>
      <c r="D68" s="1311">
        <v>427433.20429533499</v>
      </c>
      <c r="E68" s="1311">
        <v>13</v>
      </c>
      <c r="F68" s="1311">
        <v>186211.477255398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102118154</v>
      </c>
      <c r="E73" s="447"/>
      <c r="F73" s="326"/>
    </row>
    <row r="74" spans="1:6">
      <c r="A74" s="1307" t="s">
        <v>63</v>
      </c>
      <c r="B74" s="1307" t="s">
        <v>639</v>
      </c>
      <c r="C74" s="1321" t="s">
        <v>641</v>
      </c>
      <c r="D74" s="1322">
        <v>11155958.975332769</v>
      </c>
      <c r="E74" s="447"/>
      <c r="F74" s="326"/>
    </row>
    <row r="75" spans="1:6">
      <c r="A75" s="1307" t="s">
        <v>64</v>
      </c>
      <c r="B75" s="1307" t="s">
        <v>638</v>
      </c>
      <c r="C75" s="1321" t="s">
        <v>642</v>
      </c>
      <c r="D75" s="1322">
        <v>23900235</v>
      </c>
      <c r="E75" s="447"/>
      <c r="F75" s="326"/>
    </row>
    <row r="76" spans="1:6">
      <c r="A76" s="1307" t="s">
        <v>64</v>
      </c>
      <c r="B76" s="1307" t="s">
        <v>639</v>
      </c>
      <c r="C76" s="1321" t="s">
        <v>643</v>
      </c>
      <c r="D76" s="1322">
        <v>628295.97533276852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168190.04933446299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6145.383217307317</v>
      </c>
      <c r="C91" s="326"/>
      <c r="D91" s="326"/>
      <c r="E91" s="326"/>
      <c r="F91" s="326"/>
    </row>
    <row r="92" spans="1:6">
      <c r="A92" s="1302" t="s">
        <v>68</v>
      </c>
      <c r="B92" s="1303">
        <v>8638.7269531501715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4626</v>
      </c>
      <c r="C97" s="326"/>
      <c r="D97" s="326"/>
      <c r="E97" s="326"/>
      <c r="F97" s="326"/>
    </row>
    <row r="98" spans="1:6">
      <c r="A98" s="1307" t="s">
        <v>71</v>
      </c>
      <c r="B98" s="1308">
        <v>9</v>
      </c>
      <c r="C98" s="326"/>
      <c r="D98" s="326"/>
      <c r="E98" s="326"/>
      <c r="F98" s="326"/>
    </row>
    <row r="99" spans="1:6">
      <c r="A99" s="1307" t="s">
        <v>72</v>
      </c>
      <c r="B99" s="1308">
        <v>51</v>
      </c>
      <c r="C99" s="326"/>
      <c r="D99" s="326"/>
      <c r="E99" s="326"/>
      <c r="F99" s="326"/>
    </row>
    <row r="100" spans="1:6">
      <c r="A100" s="1307" t="s">
        <v>73</v>
      </c>
      <c r="B100" s="1308">
        <v>600</v>
      </c>
      <c r="C100" s="326"/>
      <c r="D100" s="326"/>
      <c r="E100" s="326"/>
      <c r="F100" s="326"/>
    </row>
    <row r="101" spans="1:6">
      <c r="A101" s="1307" t="s">
        <v>74</v>
      </c>
      <c r="B101" s="1308">
        <v>116</v>
      </c>
      <c r="C101" s="326"/>
      <c r="D101" s="326"/>
      <c r="E101" s="326"/>
      <c r="F101" s="326"/>
    </row>
    <row r="102" spans="1:6">
      <c r="A102" s="1307" t="s">
        <v>75</v>
      </c>
      <c r="B102" s="1308">
        <v>71</v>
      </c>
      <c r="C102" s="326"/>
      <c r="D102" s="326"/>
      <c r="E102" s="326"/>
      <c r="F102" s="326"/>
    </row>
    <row r="103" spans="1:6">
      <c r="A103" s="1307" t="s">
        <v>76</v>
      </c>
      <c r="B103" s="1308">
        <v>183</v>
      </c>
      <c r="C103" s="326"/>
      <c r="D103" s="326"/>
      <c r="E103" s="326"/>
      <c r="F103" s="326"/>
    </row>
    <row r="104" spans="1:6">
      <c r="A104" s="1307" t="s">
        <v>77</v>
      </c>
      <c r="B104" s="1308">
        <v>2061</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31</v>
      </c>
      <c r="C123" s="1308">
        <v>52</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174</v>
      </c>
      <c r="C129" s="326"/>
      <c r="D129" s="326"/>
      <c r="E129" s="326"/>
      <c r="F129" s="326"/>
    </row>
    <row r="130" spans="1:6">
      <c r="A130" s="1307" t="s">
        <v>290</v>
      </c>
      <c r="B130" s="1308">
        <v>3</v>
      </c>
      <c r="C130" s="326"/>
      <c r="D130" s="326"/>
      <c r="E130" s="326"/>
      <c r="F130" s="326"/>
    </row>
    <row r="131" spans="1:6">
      <c r="A131" s="1307" t="s">
        <v>291</v>
      </c>
      <c r="B131" s="1308">
        <v>3</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142666.68309937094</v>
      </c>
      <c r="C3" s="43" t="s">
        <v>169</v>
      </c>
      <c r="D3" s="43"/>
      <c r="E3" s="154"/>
      <c r="F3" s="43"/>
      <c r="G3" s="43"/>
      <c r="H3" s="43"/>
      <c r="I3" s="43"/>
      <c r="J3" s="43"/>
      <c r="K3" s="96"/>
    </row>
    <row r="4" spans="1:11">
      <c r="A4" s="354" t="s">
        <v>170</v>
      </c>
      <c r="B4" s="49">
        <f>IF(ISERROR('SEAP template'!B78+'SEAP template'!C78),0,'SEAP template'!B78+'SEAP template'!C78)</f>
        <v>20184.11017045749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1283.294117647059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0.19872854768193562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1833.2773109243701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7714.2857142857147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1581.5440000000001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1581.5440000000001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0.19872854768193562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314.29794221507922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30171.6437969896</v>
      </c>
      <c r="C5" s="17">
        <f>IF(ISERROR('Eigen informatie GS &amp; warmtenet'!B59),0,'Eigen informatie GS &amp; warmtenet'!B59)</f>
        <v>0</v>
      </c>
      <c r="D5" s="30">
        <f>(SUM(HH_hh_gas_kWh,HH_rest_gas_kWh)/1000)*0.903</f>
        <v>94729.046312818464</v>
      </c>
      <c r="E5" s="17">
        <f>B32*B41</f>
        <v>1320.1328314626644</v>
      </c>
      <c r="F5" s="17">
        <f>B36*B45</f>
        <v>29985.339517348188</v>
      </c>
      <c r="G5" s="18"/>
      <c r="H5" s="17"/>
      <c r="I5" s="17"/>
      <c r="J5" s="17">
        <f>B35*B44+C35*C44</f>
        <v>150.01159449766143</v>
      </c>
      <c r="K5" s="17"/>
      <c r="L5" s="17"/>
      <c r="M5" s="17"/>
      <c r="N5" s="17">
        <f>B34*B43+C34*C43</f>
        <v>11683.297396541677</v>
      </c>
      <c r="O5" s="17">
        <f>B52*B53*B54</f>
        <v>450.35851580085625</v>
      </c>
      <c r="P5" s="17">
        <f>B60*B61*B62/1000-B60*B61*B62/1000/B63</f>
        <v>568.83380261499121</v>
      </c>
    </row>
    <row r="6" spans="1:16">
      <c r="A6" s="16" t="s">
        <v>604</v>
      </c>
      <c r="B6" s="779">
        <f>kWh_PV_kleiner_dan_10kW</f>
        <v>6145.383217307317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36317.027014296917</v>
      </c>
      <c r="C8" s="21">
        <f>C5</f>
        <v>0</v>
      </c>
      <c r="D8" s="21">
        <f>D5</f>
        <v>94729.046312818464</v>
      </c>
      <c r="E8" s="21">
        <f>E5</f>
        <v>1320.1328314626644</v>
      </c>
      <c r="F8" s="21">
        <f>F5</f>
        <v>29985.339517348188</v>
      </c>
      <c r="G8" s="21"/>
      <c r="H8" s="21"/>
      <c r="I8" s="21"/>
      <c r="J8" s="21">
        <f>J5</f>
        <v>150.01159449766143</v>
      </c>
      <c r="K8" s="21"/>
      <c r="L8" s="21">
        <f>L5</f>
        <v>0</v>
      </c>
      <c r="M8" s="21">
        <f>M5</f>
        <v>0</v>
      </c>
      <c r="N8" s="21">
        <f>N5</f>
        <v>11683.297396541677</v>
      </c>
      <c r="O8" s="21">
        <f>O5</f>
        <v>450.35851580085625</v>
      </c>
      <c r="P8" s="21">
        <f>P5</f>
        <v>568.83380261499121</v>
      </c>
    </row>
    <row r="9" spans="1:16">
      <c r="B9" s="19"/>
      <c r="C9" s="19"/>
      <c r="D9" s="254"/>
      <c r="E9" s="19"/>
      <c r="F9" s="19"/>
      <c r="G9" s="19"/>
      <c r="H9" s="19"/>
      <c r="I9" s="19"/>
      <c r="J9" s="19"/>
      <c r="K9" s="19"/>
      <c r="L9" s="19"/>
      <c r="M9" s="19"/>
      <c r="N9" s="19"/>
      <c r="O9" s="19"/>
      <c r="P9" s="19"/>
    </row>
    <row r="10" spans="1:16">
      <c r="A10" s="24" t="s">
        <v>213</v>
      </c>
      <c r="B10" s="25">
        <f ca="1">'EF ele_warmte'!B12</f>
        <v>0.19872854768193562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7217.2300346768488</v>
      </c>
      <c r="C12" s="23">
        <f ca="1">C10*C8</f>
        <v>0</v>
      </c>
      <c r="D12" s="23">
        <f>D8*D10</f>
        <v>19135.267355189331</v>
      </c>
      <c r="E12" s="23">
        <f>E10*E8</f>
        <v>299.67015274202481</v>
      </c>
      <c r="F12" s="23">
        <f>F10*F8</f>
        <v>8006.0856511319662</v>
      </c>
      <c r="G12" s="23"/>
      <c r="H12" s="23"/>
      <c r="I12" s="23"/>
      <c r="J12" s="23">
        <f>J10*J8</f>
        <v>53.104104452172145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9053</v>
      </c>
      <c r="C26" s="36"/>
      <c r="D26" s="225"/>
    </row>
    <row r="27" spans="1:5" s="15" customFormat="1">
      <c r="A27" s="227" t="s">
        <v>817</v>
      </c>
      <c r="B27" s="37">
        <f>SUM(HH_hh_gas_aantal,HH_rest_gas_aantal)</f>
        <v>7235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6873.25</v>
      </c>
      <c r="C31" s="34" t="s">
        <v>110</v>
      </c>
      <c r="D31" s="171"/>
    </row>
    <row r="32" spans="1:5">
      <c r="A32" s="168" t="s">
        <v>72</v>
      </c>
      <c r="B32" s="33">
        <f>IF((B21*($B$26-($B$27-0.05*$B$27)-$B$60))&lt;0,0,B21*($B$26-($B$27-0.05*$B$27)-$B$60))</f>
        <v>32.718181429242776</v>
      </c>
      <c r="C32" s="34" t="s">
        <v>110</v>
      </c>
      <c r="D32" s="171"/>
    </row>
    <row r="33" spans="1:6">
      <c r="A33" s="168" t="s">
        <v>73</v>
      </c>
      <c r="B33" s="33">
        <f>IF((B22*($B$26-($B$27-0.05*$B$27)-$B$60))&lt;0,0,B22*($B$26-($B$27-0.05*$B$27)-$B$60))</f>
        <v>531.27846734135483</v>
      </c>
      <c r="C33" s="34" t="s">
        <v>110</v>
      </c>
      <c r="D33" s="171"/>
    </row>
    <row r="34" spans="1:6">
      <c r="A34" s="168" t="s">
        <v>74</v>
      </c>
      <c r="B34" s="33">
        <f>IF((B24*($B$26-($B$27-0.05*$B$27)-$B$60))&lt;0,0,B24*($B$26-($B$27-0.05*$B$27)-$B$60))</f>
        <v>101.76541641129209</v>
      </c>
      <c r="C34" s="33">
        <f>B26*C24</f>
        <v>1853.8181178924833</v>
      </c>
      <c r="D34" s="230"/>
    </row>
    <row r="35" spans="1:6">
      <c r="A35" s="168" t="s">
        <v>76</v>
      </c>
      <c r="B35" s="33">
        <f>IF((B19*($B$26-($B$27-0.05*$B$27)-$B$60))&lt;0,0,B19*($B$26-($B$27-0.05*$B$27)-$B$60))</f>
        <v>14.222515465012279</v>
      </c>
      <c r="C35" s="33">
        <f>B35/2</f>
        <v>7.1112577325061395</v>
      </c>
      <c r="D35" s="230"/>
    </row>
    <row r="36" spans="1:6">
      <c r="A36" s="168" t="s">
        <v>77</v>
      </c>
      <c r="B36" s="33">
        <f>IF((B18*($B$26-($B$27-0.05*$B$27)-$B$60))&lt;0,0,B18*($B$26-($B$27-0.05*$B$27)-$B$60))</f>
        <v>1445.7654193530975</v>
      </c>
      <c r="C36" s="34" t="s">
        <v>110</v>
      </c>
      <c r="D36" s="171"/>
    </row>
    <row r="37" spans="1:6">
      <c r="A37" s="168" t="s">
        <v>78</v>
      </c>
      <c r="B37" s="33">
        <f>B60</f>
        <v>54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34298.591096178912</v>
      </c>
      <c r="C5" s="17">
        <f>IF(ISERROR('Eigen informatie GS &amp; warmtenet'!B60),0,'Eigen informatie GS &amp; warmtenet'!B60)</f>
        <v>0</v>
      </c>
      <c r="D5" s="30">
        <f>SUM(D6:D12)</f>
        <v>46085.599181016361</v>
      </c>
      <c r="E5" s="17">
        <f>SUM(E6:E12)</f>
        <v>91.121590726770322</v>
      </c>
      <c r="F5" s="17">
        <f>SUM(F6:F12)</f>
        <v>5050.0111920325999</v>
      </c>
      <c r="G5" s="18"/>
      <c r="H5" s="17"/>
      <c r="I5" s="17"/>
      <c r="J5" s="17">
        <f>SUM(J6:J12)</f>
        <v>3.4559410537997395E-2</v>
      </c>
      <c r="K5" s="17"/>
      <c r="L5" s="17"/>
      <c r="M5" s="17"/>
      <c r="N5" s="17">
        <f>SUM(N6:N12)</f>
        <v>1289.9449016783342</v>
      </c>
      <c r="O5" s="17">
        <f>B38*B39*B40</f>
        <v>14.691782297523464</v>
      </c>
      <c r="P5" s="17">
        <f>B46*B47*B48/1000-B46*B47*B48/1000/B49</f>
        <v>262.69569153247511</v>
      </c>
      <c r="R5" s="32"/>
    </row>
    <row r="6" spans="1:18">
      <c r="A6" s="32" t="s">
        <v>53</v>
      </c>
      <c r="B6" s="37">
        <f>B26</f>
        <v>13121.6903093946</v>
      </c>
      <c r="C6" s="33"/>
      <c r="D6" s="37">
        <f>IF(ISERROR(TER_kantoor_gas_kWh/1000),0,TER_kantoor_gas_kWh/1000)*0.903</f>
        <v>14192.131527755335</v>
      </c>
      <c r="E6" s="33">
        <f>$C$26*'E Balans VL '!I12/100/3.6*1000000</f>
        <v>3.1436451005511787</v>
      </c>
      <c r="F6" s="33">
        <f>$C$26*('E Balans VL '!L12+'E Balans VL '!N12)/100/3.6*1000000</f>
        <v>1244.314480202906</v>
      </c>
      <c r="G6" s="34"/>
      <c r="H6" s="33"/>
      <c r="I6" s="33"/>
      <c r="J6" s="33">
        <f>$C$26*('E Balans VL '!D12+'E Balans VL '!E12)/100/3.6*1000000</f>
        <v>0</v>
      </c>
      <c r="K6" s="33"/>
      <c r="L6" s="33"/>
      <c r="M6" s="33"/>
      <c r="N6" s="33">
        <f>$C$26*'E Balans VL '!Y12/100/3.6*1000000</f>
        <v>6.6651399748541786</v>
      </c>
      <c r="O6" s="33"/>
      <c r="P6" s="33"/>
      <c r="R6" s="32"/>
    </row>
    <row r="7" spans="1:18">
      <c r="A7" s="32" t="s">
        <v>52</v>
      </c>
      <c r="B7" s="37">
        <f t="shared" ref="B7:B12" si="0">B27</f>
        <v>2648.6839390569598</v>
      </c>
      <c r="C7" s="33"/>
      <c r="D7" s="37">
        <f>IF(ISERROR(TER_horeca_gas_kWh/1000),0,TER_horeca_gas_kWh/1000)*0.903</f>
        <v>3834.0235441842442</v>
      </c>
      <c r="E7" s="33">
        <f>$C$27*'E Balans VL '!I9/100/3.6*1000000</f>
        <v>0</v>
      </c>
      <c r="F7" s="33">
        <f>$C$27*('E Balans VL '!L9+'E Balans VL '!N9)/100/3.6*1000000</f>
        <v>217.18585676968044</v>
      </c>
      <c r="G7" s="34"/>
      <c r="H7" s="33"/>
      <c r="I7" s="33"/>
      <c r="J7" s="33">
        <f>$C$27*('E Balans VL '!D9+'E Balans VL '!E9)/100/3.6*1000000</f>
        <v>0</v>
      </c>
      <c r="K7" s="33"/>
      <c r="L7" s="33"/>
      <c r="M7" s="33"/>
      <c r="N7" s="33">
        <f>$C$27*'E Balans VL '!Y9/100/3.6*1000000</f>
        <v>0.81192804363772941</v>
      </c>
      <c r="O7" s="33"/>
      <c r="P7" s="33"/>
      <c r="R7" s="32"/>
    </row>
    <row r="8" spans="1:18">
      <c r="A8" s="6" t="s">
        <v>51</v>
      </c>
      <c r="B8" s="37">
        <f t="shared" si="0"/>
        <v>10772.333120744201</v>
      </c>
      <c r="C8" s="33"/>
      <c r="D8" s="37">
        <f>IF(ISERROR(TER_handel_gas_kWh/1000),0,TER_handel_gas_kWh/1000)*0.903</f>
        <v>13064.948282514157</v>
      </c>
      <c r="E8" s="33">
        <f>$C$28*'E Balans VL '!I13/100/3.6*1000000</f>
        <v>37.858863267329248</v>
      </c>
      <c r="F8" s="33">
        <f>$C$28*('E Balans VL '!L13+'E Balans VL '!N13)/100/3.6*1000000</f>
        <v>985.64913524323663</v>
      </c>
      <c r="G8" s="34"/>
      <c r="H8" s="33"/>
      <c r="I8" s="33"/>
      <c r="J8" s="33">
        <f>$C$28*('E Balans VL '!D13+'E Balans VL '!E13)/100/3.6*1000000</f>
        <v>0</v>
      </c>
      <c r="K8" s="33"/>
      <c r="L8" s="33"/>
      <c r="M8" s="33"/>
      <c r="N8" s="33">
        <f>$C$28*'E Balans VL '!Y13/100/3.6*1000000</f>
        <v>3.9012752900364167</v>
      </c>
      <c r="O8" s="33"/>
      <c r="P8" s="33"/>
      <c r="R8" s="32"/>
    </row>
    <row r="9" spans="1:18">
      <c r="A9" s="32" t="s">
        <v>50</v>
      </c>
      <c r="B9" s="37">
        <f t="shared" si="0"/>
        <v>3865.78333962025</v>
      </c>
      <c r="C9" s="33"/>
      <c r="D9" s="37">
        <f>IF(ISERROR(TER_gezond_gas_kWh/1000),0,TER_gezond_gas_kWh/1000)*0.903</f>
        <v>7992.4641390959423</v>
      </c>
      <c r="E9" s="33">
        <f>$C$29*'E Balans VL '!I10/100/3.6*1000000</f>
        <v>0</v>
      </c>
      <c r="F9" s="33">
        <f>$C$29*('E Balans VL '!L10+'E Balans VL '!N10)/100/3.6*1000000</f>
        <v>473.87405025791645</v>
      </c>
      <c r="G9" s="34"/>
      <c r="H9" s="33"/>
      <c r="I9" s="33"/>
      <c r="J9" s="33">
        <f>$C$29*('E Balans VL '!D10+'E Balans VL '!E10)/100/3.6*1000000</f>
        <v>0</v>
      </c>
      <c r="K9" s="33"/>
      <c r="L9" s="33"/>
      <c r="M9" s="33"/>
      <c r="N9" s="33">
        <f>$C$29*'E Balans VL '!Y10/100/3.6*1000000</f>
        <v>28.507458239886802</v>
      </c>
      <c r="O9" s="33"/>
      <c r="P9" s="33"/>
      <c r="R9" s="32"/>
    </row>
    <row r="10" spans="1:18">
      <c r="A10" s="32" t="s">
        <v>49</v>
      </c>
      <c r="B10" s="37">
        <f t="shared" si="0"/>
        <v>3499.3965223322703</v>
      </c>
      <c r="C10" s="33"/>
      <c r="D10" s="37">
        <f>IF(ISERROR(TER_ander_gas_kWh/1000),0,TER_ander_gas_kWh/1000)*0.903</f>
        <v>5122.271970946802</v>
      </c>
      <c r="E10" s="33">
        <f>$C$30*'E Balans VL '!I14/100/3.6*1000000</f>
        <v>50.119082358889898</v>
      </c>
      <c r="F10" s="33">
        <f>$C$30*('E Balans VL '!L14+'E Balans VL '!N14)/100/3.6*1000000</f>
        <v>2083.3097350738758</v>
      </c>
      <c r="G10" s="34"/>
      <c r="H10" s="33"/>
      <c r="I10" s="33"/>
      <c r="J10" s="33">
        <f>$C$30*('E Balans VL '!D14+'E Balans VL '!E14)/100/3.6*1000000</f>
        <v>3.4559410537997395E-2</v>
      </c>
      <c r="K10" s="33"/>
      <c r="L10" s="33"/>
      <c r="M10" s="33"/>
      <c r="N10" s="33">
        <f>$C$30*'E Balans VL '!Y14/100/3.6*1000000</f>
        <v>1248.9589229109931</v>
      </c>
      <c r="O10" s="33"/>
      <c r="P10" s="33"/>
      <c r="R10" s="32"/>
    </row>
    <row r="11" spans="1:18">
      <c r="A11" s="32" t="s">
        <v>54</v>
      </c>
      <c r="B11" s="37">
        <f t="shared" si="0"/>
        <v>390.70386503063003</v>
      </c>
      <c r="C11" s="33"/>
      <c r="D11" s="37">
        <f>IF(ISERROR(TER_onderwijs_gas_kWh/1000),0,TER_onderwijs_gas_kWh/1000)*0.903</f>
        <v>1879.7597165198849</v>
      </c>
      <c r="E11" s="33">
        <f>$C$31*'E Balans VL '!I11/100/3.6*1000000</f>
        <v>0</v>
      </c>
      <c r="F11" s="33">
        <f>$C$31*('E Balans VL '!L11+'E Balans VL '!N11)/100/3.6*1000000</f>
        <v>45.677934484983439</v>
      </c>
      <c r="G11" s="34"/>
      <c r="H11" s="33"/>
      <c r="I11" s="33"/>
      <c r="J11" s="33">
        <f>$C$31*('E Balans VL '!D11+'E Balans VL '!E11)/100/3.6*1000000</f>
        <v>0</v>
      </c>
      <c r="K11" s="33"/>
      <c r="L11" s="33"/>
      <c r="M11" s="33"/>
      <c r="N11" s="33">
        <f>$C$31*'E Balans VL '!Y11/100/3.6*1000000</f>
        <v>1.1001772189258328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34298.591096178912</v>
      </c>
      <c r="C16" s="21">
        <f t="shared" ca="1" si="1"/>
        <v>0</v>
      </c>
      <c r="D16" s="21">
        <f t="shared" ca="1" si="1"/>
        <v>46085.599181016361</v>
      </c>
      <c r="E16" s="21">
        <f t="shared" si="1"/>
        <v>91.121590726770322</v>
      </c>
      <c r="F16" s="21">
        <f t="shared" ca="1" si="1"/>
        <v>5050.0111920325999</v>
      </c>
      <c r="G16" s="21">
        <f t="shared" si="1"/>
        <v>0</v>
      </c>
      <c r="H16" s="21">
        <f t="shared" si="1"/>
        <v>0</v>
      </c>
      <c r="I16" s="21">
        <f t="shared" si="1"/>
        <v>0</v>
      </c>
      <c r="J16" s="21">
        <f t="shared" si="1"/>
        <v>3.4559410537997395E-2</v>
      </c>
      <c r="K16" s="21">
        <f t="shared" si="1"/>
        <v>0</v>
      </c>
      <c r="L16" s="21">
        <f t="shared" ca="1" si="1"/>
        <v>0</v>
      </c>
      <c r="M16" s="21">
        <f t="shared" si="1"/>
        <v>0</v>
      </c>
      <c r="N16" s="21">
        <f t="shared" ca="1" si="1"/>
        <v>1289.9449016783342</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0.19872854768193562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6816.1091960802032</v>
      </c>
      <c r="C20" s="23">
        <f t="shared" ref="C20:P20" ca="1" si="2">C16*C18</f>
        <v>0</v>
      </c>
      <c r="D20" s="23">
        <f t="shared" ca="1" si="2"/>
        <v>9309.2910345653054</v>
      </c>
      <c r="E20" s="23">
        <f t="shared" si="2"/>
        <v>20.684601094976863</v>
      </c>
      <c r="F20" s="23">
        <f t="shared" ca="1" si="2"/>
        <v>1348.3529882727044</v>
      </c>
      <c r="G20" s="23">
        <f t="shared" si="2"/>
        <v>0</v>
      </c>
      <c r="H20" s="23">
        <f t="shared" si="2"/>
        <v>0</v>
      </c>
      <c r="I20" s="23">
        <f t="shared" si="2"/>
        <v>0</v>
      </c>
      <c r="J20" s="23">
        <f t="shared" si="2"/>
        <v>1.2234031330451077E-2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13121.6903093946</v>
      </c>
      <c r="C26" s="39">
        <f>IF(ISERROR(B26*3.6/1000000/'E Balans VL '!Z12*100),0,B26*3.6/1000000/'E Balans VL '!Z12*100)</f>
        <v>0.37006641472016422</v>
      </c>
      <c r="D26" s="233" t="s">
        <v>691</v>
      </c>
      <c r="F26" s="6"/>
    </row>
    <row r="27" spans="1:18">
      <c r="A27" s="228" t="s">
        <v>52</v>
      </c>
      <c r="B27" s="33">
        <f>IF(ISERROR(TER_horeca_ele_kWh/1000),0,TER_horeca_ele_kWh/1000)</f>
        <v>2648.6839390569598</v>
      </c>
      <c r="C27" s="39">
        <f>IF(ISERROR(B27*3.6/1000000/'E Balans VL '!Z9*100),0,B27*3.6/1000000/'E Balans VL '!Z9*100)</f>
        <v>0.19636737585379715</v>
      </c>
      <c r="D27" s="233" t="s">
        <v>691</v>
      </c>
      <c r="F27" s="6"/>
    </row>
    <row r="28" spans="1:18">
      <c r="A28" s="168" t="s">
        <v>51</v>
      </c>
      <c r="B28" s="33">
        <f>IF(ISERROR(TER_handel_ele_kWh/1000),0,TER_handel_ele_kWh/1000)</f>
        <v>10772.333120744201</v>
      </c>
      <c r="C28" s="39">
        <f>IF(ISERROR(B28*3.6/1000000/'E Balans VL '!Z13*100),0,B28*3.6/1000000/'E Balans VL '!Z13*100)</f>
        <v>0.32271348811925055</v>
      </c>
      <c r="D28" s="233" t="s">
        <v>691</v>
      </c>
      <c r="F28" s="6"/>
    </row>
    <row r="29" spans="1:18">
      <c r="A29" s="228" t="s">
        <v>50</v>
      </c>
      <c r="B29" s="33">
        <f>IF(ISERROR(TER_gezond_ele_kWh/1000),0,TER_gezond_ele_kWh/1000)</f>
        <v>3865.78333962025</v>
      </c>
      <c r="C29" s="39">
        <f>IF(ISERROR(B29*3.6/1000000/'E Balans VL '!Z10*100),0,B29*3.6/1000000/'E Balans VL '!Z10*100)</f>
        <v>0.38225017180813131</v>
      </c>
      <c r="D29" s="233" t="s">
        <v>691</v>
      </c>
      <c r="F29" s="6"/>
    </row>
    <row r="30" spans="1:18">
      <c r="A30" s="228" t="s">
        <v>49</v>
      </c>
      <c r="B30" s="33">
        <f>IF(ISERROR(TER_ander_ele_kWh/1000),0,TER_ander_ele_kWh/1000)</f>
        <v>3499.3965223322703</v>
      </c>
      <c r="C30" s="39">
        <f>IF(ISERROR(B30*3.6/1000000/'E Balans VL '!Z14*100),0,B30*3.6/1000000/'E Balans VL '!Z14*100)</f>
        <v>0.14154024793719067</v>
      </c>
      <c r="D30" s="233" t="s">
        <v>691</v>
      </c>
      <c r="F30" s="6"/>
    </row>
    <row r="31" spans="1:18">
      <c r="A31" s="228" t="s">
        <v>54</v>
      </c>
      <c r="B31" s="33">
        <f>IF(ISERROR(TER_onderwijs_ele_kWh/1000),0,TER_onderwijs_ele_kWh/1000)</f>
        <v>390.70386503063003</v>
      </c>
      <c r="C31" s="39">
        <f>IF(ISERROR(B31*3.6/1000000/'E Balans VL '!Z11*100),0,B31*3.6/1000000/'E Balans VL '!Z11*100)</f>
        <v>0.10734343901524999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62019.211699921078</v>
      </c>
      <c r="C5" s="17">
        <f>IF(ISERROR('Eigen informatie GS &amp; warmtenet'!B61),0,'Eigen informatie GS &amp; warmtenet'!B61)</f>
        <v>0</v>
      </c>
      <c r="D5" s="30">
        <f>SUM(D6:D15)</f>
        <v>83294.228062215945</v>
      </c>
      <c r="E5" s="17">
        <f>SUM(E6:E15)</f>
        <v>1439.2328127804692</v>
      </c>
      <c r="F5" s="17">
        <f>SUM(F6:F15)</f>
        <v>16027.197151079041</v>
      </c>
      <c r="G5" s="18"/>
      <c r="H5" s="17"/>
      <c r="I5" s="17"/>
      <c r="J5" s="17">
        <f>SUM(J6:J15)</f>
        <v>1.2079319382535345</v>
      </c>
      <c r="K5" s="17"/>
      <c r="L5" s="17"/>
      <c r="M5" s="17"/>
      <c r="N5" s="17">
        <f>SUM(N6:N15)</f>
        <v>1602.7611911749063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1129.6982079428199</v>
      </c>
      <c r="C8" s="33"/>
      <c r="D8" s="37">
        <f>IF( ISERROR(IND_metaal_Gas_kWH/1000),0,IND_metaal_Gas_kWH/1000)*0.903</f>
        <v>2193.5498740104808</v>
      </c>
      <c r="E8" s="33">
        <f>C30*'E Balans VL '!I18/100/3.6*1000000</f>
        <v>5.6961354734293872</v>
      </c>
      <c r="F8" s="33">
        <f>C30*'E Balans VL '!L18/100/3.6*1000000+C30*'E Balans VL '!N18/100/3.6*1000000</f>
        <v>77.183290049616943</v>
      </c>
      <c r="G8" s="34"/>
      <c r="H8" s="33"/>
      <c r="I8" s="33"/>
      <c r="J8" s="40">
        <f>C30*'E Balans VL '!D18/100/3.6*1000000+C30*'E Balans VL '!E18/100/3.6*1000000</f>
        <v>1.0015738258398608</v>
      </c>
      <c r="K8" s="33"/>
      <c r="L8" s="33"/>
      <c r="M8" s="33"/>
      <c r="N8" s="33">
        <f>C30*'E Balans VL '!Y18/100/3.6*1000000</f>
        <v>15.01369588778492</v>
      </c>
      <c r="O8" s="33"/>
      <c r="P8" s="33"/>
      <c r="R8" s="32"/>
    </row>
    <row r="9" spans="1:18">
      <c r="A9" s="6" t="s">
        <v>32</v>
      </c>
      <c r="B9" s="37">
        <f t="shared" si="0"/>
        <v>25507.551431716201</v>
      </c>
      <c r="C9" s="33"/>
      <c r="D9" s="37">
        <f>IF( ISERROR(IND_andere_gas_kWh/1000),0,IND_andere_gas_kWh/1000)*0.903</f>
        <v>8438.4297492544792</v>
      </c>
      <c r="E9" s="33">
        <f>C31*'E Balans VL '!I19/100/3.6*1000000</f>
        <v>80.405830651790609</v>
      </c>
      <c r="F9" s="33">
        <f>C31*'E Balans VL '!L19/100/3.6*1000000+C31*'E Balans VL '!N19/100/3.6*1000000</f>
        <v>15614.650171752332</v>
      </c>
      <c r="G9" s="34"/>
      <c r="H9" s="33"/>
      <c r="I9" s="33"/>
      <c r="J9" s="40">
        <f>C31*'E Balans VL '!D19/100/3.6*1000000+C31*'E Balans VL '!E19/100/3.6*1000000</f>
        <v>0</v>
      </c>
      <c r="K9" s="33"/>
      <c r="L9" s="33"/>
      <c r="M9" s="33"/>
      <c r="N9" s="33">
        <f>C31*'E Balans VL '!Y19/100/3.6*1000000</f>
        <v>1069.5662662173718</v>
      </c>
      <c r="O9" s="33"/>
      <c r="P9" s="33"/>
      <c r="R9" s="32"/>
    </row>
    <row r="10" spans="1:18">
      <c r="A10" s="6" t="s">
        <v>40</v>
      </c>
      <c r="B10" s="37">
        <f t="shared" si="0"/>
        <v>6008.0507205555596</v>
      </c>
      <c r="C10" s="33"/>
      <c r="D10" s="37">
        <f>IF( ISERROR(IND_voed_gas_kWh/1000),0,IND_voed_gas_kWh/1000)*0.903</f>
        <v>21062.582141567924</v>
      </c>
      <c r="E10" s="33">
        <f>C32*'E Balans VL '!I20/100/3.6*1000000</f>
        <v>9.5751455283410554</v>
      </c>
      <c r="F10" s="33">
        <f>C32*'E Balans VL '!L20/100/3.6*1000000+C32*'E Balans VL '!N20/100/3.6*1000000</f>
        <v>97.616228999400477</v>
      </c>
      <c r="G10" s="34"/>
      <c r="H10" s="33"/>
      <c r="I10" s="33"/>
      <c r="J10" s="40">
        <f>C32*'E Balans VL '!D20/100/3.6*1000000+C32*'E Balans VL '!E20/100/3.6*1000000</f>
        <v>0</v>
      </c>
      <c r="K10" s="33"/>
      <c r="L10" s="33"/>
      <c r="M10" s="33"/>
      <c r="N10" s="33">
        <f>C32*'E Balans VL '!Y20/100/3.6*1000000</f>
        <v>189.76424819496555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1912.4574709948799</v>
      </c>
      <c r="C12" s="33"/>
      <c r="D12" s="37">
        <f>IF( ISERROR(IND_min_gas_kWh/1000),0,IND_min_gas_kWh/1000)*0.903</f>
        <v>251.44488317017777</v>
      </c>
      <c r="E12" s="33">
        <f>C34*'E Balans VL '!I22/100/3.6*1000000</f>
        <v>8.2757213403513514</v>
      </c>
      <c r="F12" s="33">
        <f>C34*'E Balans VL '!L22/100/3.6*1000000+C34*'E Balans VL '!N22/100/3.6*1000000</f>
        <v>73.019987036211688</v>
      </c>
      <c r="G12" s="34"/>
      <c r="H12" s="33"/>
      <c r="I12" s="33"/>
      <c r="J12" s="40">
        <f>C34*'E Balans VL '!D22/100/3.6*1000000+C34*'E Balans VL '!E22/100/3.6*1000000</f>
        <v>0</v>
      </c>
      <c r="K12" s="33"/>
      <c r="L12" s="33"/>
      <c r="M12" s="33"/>
      <c r="N12" s="33">
        <f>C34*'E Balans VL '!Y22/100/3.6*1000000</f>
        <v>326.22216372000929</v>
      </c>
      <c r="O12" s="33"/>
      <c r="P12" s="33"/>
      <c r="R12" s="32"/>
    </row>
    <row r="13" spans="1:18">
      <c r="A13" s="6" t="s">
        <v>38</v>
      </c>
      <c r="B13" s="37">
        <f t="shared" si="0"/>
        <v>4607.4704215654201</v>
      </c>
      <c r="C13" s="33"/>
      <c r="D13" s="37">
        <f>IF( ISERROR(IND_papier_gas_kWh/1000),0,IND_papier_gas_kWh/1000)*0.903</f>
        <v>449.44107000604566</v>
      </c>
      <c r="E13" s="33">
        <f>C35*'E Balans VL '!I23/100/3.6*1000000</f>
        <v>0</v>
      </c>
      <c r="F13" s="33">
        <f>C35*'E Balans VL '!L23/100/3.6*1000000+C35*'E Balans VL '!N23/100/3.6*1000000</f>
        <v>0.1996170428461341</v>
      </c>
      <c r="G13" s="34"/>
      <c r="H13" s="33"/>
      <c r="I13" s="33"/>
      <c r="J13" s="40">
        <f>C35*'E Balans VL '!D23/100/3.6*1000000+C35*'E Balans VL '!E23/100/3.6*1000000</f>
        <v>0.12695778434793714</v>
      </c>
      <c r="K13" s="33"/>
      <c r="L13" s="33"/>
      <c r="M13" s="33"/>
      <c r="N13" s="33">
        <f>C35*'E Balans VL '!Y23/100/3.6*1000000</f>
        <v>0</v>
      </c>
      <c r="O13" s="33"/>
      <c r="P13" s="33"/>
      <c r="R13" s="32"/>
    </row>
    <row r="14" spans="1:18">
      <c r="A14" s="6" t="s">
        <v>33</v>
      </c>
      <c r="B14" s="37">
        <f t="shared" si="0"/>
        <v>22815.091447146198</v>
      </c>
      <c r="C14" s="33"/>
      <c r="D14" s="37">
        <f>IF( ISERROR(IND_chemie_gas_kWh/1000),0,IND_chemie_gas_kWh/1000)*0.903</f>
        <v>48672.861497072416</v>
      </c>
      <c r="E14" s="33">
        <f>C36*'E Balans VL '!I24/100/3.6*1000000</f>
        <v>1334.2996763599592</v>
      </c>
      <c r="F14" s="33">
        <f>C36*'E Balans VL '!L24/100/3.6*1000000+C36*'E Balans VL '!N24/100/3.6*1000000</f>
        <v>161.3705523256655</v>
      </c>
      <c r="G14" s="34"/>
      <c r="H14" s="33"/>
      <c r="I14" s="33"/>
      <c r="J14" s="40">
        <f>C36*'E Balans VL '!D24/100/3.6*1000000+C36*'E Balans VL '!E24/100/3.6*1000000</f>
        <v>0</v>
      </c>
      <c r="K14" s="33"/>
      <c r="L14" s="33"/>
      <c r="M14" s="33"/>
      <c r="N14" s="33">
        <f>C36*'E Balans VL '!Y24/100/3.6*1000000</f>
        <v>1.5376489794885708</v>
      </c>
      <c r="O14" s="33"/>
      <c r="P14" s="33"/>
      <c r="R14" s="32"/>
    </row>
    <row r="15" spans="1:18">
      <c r="A15" s="6" t="s">
        <v>265</v>
      </c>
      <c r="B15" s="37">
        <f t="shared" si="0"/>
        <v>38.892000000000003</v>
      </c>
      <c r="C15" s="33"/>
      <c r="D15" s="37">
        <f>IF( ISERROR(IND_rest_gas_kWh/1000),0,IND_rest_gas_kWh/1000)*0.903</f>
        <v>2225.9188471344264</v>
      </c>
      <c r="E15" s="33">
        <f>C37*'E Balans VL '!I15/100/3.6*1000000</f>
        <v>0.98030342659756786</v>
      </c>
      <c r="F15" s="33">
        <f>C37*'E Balans VL '!L15/100/3.6*1000000+C37*'E Balans VL '!N15/100/3.6*1000000</f>
        <v>3.157303872968332</v>
      </c>
      <c r="G15" s="34"/>
      <c r="H15" s="33"/>
      <c r="I15" s="33"/>
      <c r="J15" s="40">
        <f>C37*'E Balans VL '!D15/100/3.6*1000000+C37*'E Balans VL '!E15/100/3.6*1000000</f>
        <v>7.94003280657367E-2</v>
      </c>
      <c r="K15" s="33"/>
      <c r="L15" s="33"/>
      <c r="M15" s="33"/>
      <c r="N15" s="33">
        <f>C37*'E Balans VL '!Y15/100/3.6*1000000</f>
        <v>0.6571681752862174</v>
      </c>
      <c r="O15" s="33"/>
      <c r="P15" s="33"/>
      <c r="R15" s="32"/>
    </row>
    <row r="16" spans="1:18">
      <c r="A16" s="16" t="s">
        <v>473</v>
      </c>
      <c r="B16" s="243">
        <f>'lokale energieproductie'!N37+'lokale energieproductie'!N30</f>
        <v>5400</v>
      </c>
      <c r="C16" s="243">
        <f>'lokale energieproductie'!O37+'lokale energieproductie'!O30</f>
        <v>7714.2857142857147</v>
      </c>
      <c r="D16" s="304">
        <f>('lokale energieproductie'!P30+'lokale energieproductie'!P37)*(-1)</f>
        <v>-15428.571428571429</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67419.211699921085</v>
      </c>
      <c r="C18" s="21">
        <f>C5+C16</f>
        <v>7714.2857142857147</v>
      </c>
      <c r="D18" s="21">
        <f>MAX((D5+D16),0)</f>
        <v>67865.65663364451</v>
      </c>
      <c r="E18" s="21">
        <f>MAX((E5+E16),0)</f>
        <v>1439.2328127804692</v>
      </c>
      <c r="F18" s="21">
        <f>MAX((F5+F16),0)</f>
        <v>16027.197151079041</v>
      </c>
      <c r="G18" s="21"/>
      <c r="H18" s="21"/>
      <c r="I18" s="21"/>
      <c r="J18" s="21">
        <f>MAX((J5+J16),0)</f>
        <v>1.2079319382535345</v>
      </c>
      <c r="K18" s="21"/>
      <c r="L18" s="21">
        <f>MAX((L5+L16),0)</f>
        <v>0</v>
      </c>
      <c r="M18" s="21"/>
      <c r="N18" s="21">
        <f>MAX((N5+N16),0)</f>
        <v>1602.7611911749063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0.19872854768193562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13398.122026986279</v>
      </c>
      <c r="C22" s="23">
        <f ca="1">C18*C20</f>
        <v>1833.2773109243701</v>
      </c>
      <c r="D22" s="23">
        <f>D18*D20</f>
        <v>13708.862639996192</v>
      </c>
      <c r="E22" s="23">
        <f>E18*E20</f>
        <v>326.70584850116654</v>
      </c>
      <c r="F22" s="23">
        <f>F18*F20</f>
        <v>4279.261639338104</v>
      </c>
      <c r="G22" s="23"/>
      <c r="H22" s="23"/>
      <c r="I22" s="23"/>
      <c r="J22" s="23">
        <f>J18*J20</f>
        <v>0.4276079061417512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1129.6982079428199</v>
      </c>
      <c r="C30" s="39">
        <f>IF(ISERROR(B30*3.6/1000000/'E Balans VL '!Z18*100),0,B30*3.6/1000000/'E Balans VL '!Z18*100)</f>
        <v>5.6075672986368404E-2</v>
      </c>
      <c r="D30" s="233" t="s">
        <v>691</v>
      </c>
    </row>
    <row r="31" spans="1:18">
      <c r="A31" s="6" t="s">
        <v>32</v>
      </c>
      <c r="B31" s="37">
        <f>IF( ISERROR(IND_ander_ele_kWh/1000),0,IND_ander_ele_kWh/1000)</f>
        <v>25507.551431716201</v>
      </c>
      <c r="C31" s="39">
        <f>IF(ISERROR(B31*3.6/1000000/'E Balans VL '!Z19*100),0,B31*3.6/1000000/'E Balans VL '!Z19*100)</f>
        <v>0.86074915203927727</v>
      </c>
      <c r="D31" s="233" t="s">
        <v>691</v>
      </c>
    </row>
    <row r="32" spans="1:18">
      <c r="A32" s="168" t="s">
        <v>40</v>
      </c>
      <c r="B32" s="37">
        <f>IF( ISERROR(IND_voed_ele_kWh/1000),0,IND_voed_ele_kWh/1000)</f>
        <v>6008.0507205555596</v>
      </c>
      <c r="C32" s="39">
        <f>IF(ISERROR(B32*3.6/1000000/'E Balans VL '!Z20*100),0,B32*3.6/1000000/'E Balans VL '!Z20*100)</f>
        <v>0.14109494412376575</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1912.4574709948799</v>
      </c>
      <c r="C34" s="39">
        <f>IF(ISERROR(B34*3.6/1000000/'E Balans VL '!Z22*100),0,B34*3.6/1000000/'E Balans VL '!Z22*100)</f>
        <v>0.27132179210268387</v>
      </c>
      <c r="D34" s="233" t="s">
        <v>691</v>
      </c>
    </row>
    <row r="35" spans="1:5">
      <c r="A35" s="168" t="s">
        <v>38</v>
      </c>
      <c r="B35" s="37">
        <f>IF( ISERROR(IND_papier_ele_kWh/1000),0,IND_papier_ele_kWh/1000)</f>
        <v>4607.4704215654201</v>
      </c>
      <c r="C35" s="39">
        <f>IF(ISERROR(B35*3.6/1000000/'E Balans VL '!Z22*100),0,B35*3.6/1000000/'E Balans VL '!Z22*100)</f>
        <v>0.65366532369941777</v>
      </c>
      <c r="D35" s="233" t="s">
        <v>691</v>
      </c>
    </row>
    <row r="36" spans="1:5">
      <c r="A36" s="168" t="s">
        <v>33</v>
      </c>
      <c r="B36" s="37">
        <f>IF( ISERROR(IND_chemie_ele_kWh/1000),0,IND_chemie_ele_kWh/1000)</f>
        <v>22815.091447146198</v>
      </c>
      <c r="C36" s="39">
        <f>IF(ISERROR(B36*3.6/1000000/'E Balans VL '!Z24*100),0,B36*3.6/1000000/'E Balans VL '!Z24*100)</f>
        <v>0.20833783688968058</v>
      </c>
      <c r="D36" s="233" t="s">
        <v>691</v>
      </c>
    </row>
    <row r="37" spans="1:5">
      <c r="A37" s="168" t="s">
        <v>265</v>
      </c>
      <c r="B37" s="37">
        <f>IF( ISERROR(IND_rest_ele_kWh/1000),0,IND_rest_ele_kWh/1000)</f>
        <v>38.892000000000003</v>
      </c>
      <c r="C37" s="39">
        <f>IF(ISERROR(B37*3.6/1000000/'E Balans VL '!Z15*100),0,B37*3.6/1000000/'E Balans VL '!Z15*100)</f>
        <v>1.457489057509908E-4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833.72736649042406</v>
      </c>
      <c r="C5" s="17">
        <f>'Eigen informatie GS &amp; warmtenet'!B62</f>
        <v>0</v>
      </c>
      <c r="D5" s="30">
        <f>IF(ISERROR(SUM(LB_lb_gas_kWh,LB_rest_gas_kWh)/1000),0,SUM(LB_lb_gas_kWh,LB_rest_gas_kWh)/1000)*0.903</f>
        <v>764.27813767239309</v>
      </c>
      <c r="E5" s="17">
        <f>B17*'E Balans VL '!I25/3.6*1000000/100</f>
        <v>31.092243686522206</v>
      </c>
      <c r="F5" s="17">
        <f>B17*('E Balans VL '!L25/3.6*1000000+'E Balans VL '!N25/3.6*1000000)/100</f>
        <v>2704.9337418307464</v>
      </c>
      <c r="G5" s="18"/>
      <c r="H5" s="17"/>
      <c r="I5" s="17"/>
      <c r="J5" s="17">
        <f>('E Balans VL '!D25+'E Balans VL '!E25)/3.6*1000000*landbouw!B17/100</f>
        <v>218.85754973831939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833.72736649042406</v>
      </c>
      <c r="C8" s="21">
        <f>C5+C6</f>
        <v>0</v>
      </c>
      <c r="D8" s="21">
        <f>MAX((D5+D6),0)</f>
        <v>764.27813767239309</v>
      </c>
      <c r="E8" s="21">
        <f>MAX((E5+E6),0)</f>
        <v>31.092243686522206</v>
      </c>
      <c r="F8" s="21">
        <f>MAX((F5+F6),0)</f>
        <v>2704.9337418307464</v>
      </c>
      <c r="G8" s="21"/>
      <c r="H8" s="21"/>
      <c r="I8" s="21"/>
      <c r="J8" s="21">
        <f>MAX((J5+J6),0)</f>
        <v>218.85754973831939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0.19872854768193562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165.68542870532684</v>
      </c>
      <c r="C12" s="23">
        <f ca="1">C8*C10</f>
        <v>0</v>
      </c>
      <c r="D12" s="23">
        <f>D8*D10</f>
        <v>154.38418380982341</v>
      </c>
      <c r="E12" s="23">
        <f>E8*E10</f>
        <v>7.0579393168405407</v>
      </c>
      <c r="F12" s="23">
        <f>F8*F10</f>
        <v>722.2173090688093</v>
      </c>
      <c r="G12" s="23"/>
      <c r="H12" s="23"/>
      <c r="I12" s="23"/>
      <c r="J12" s="23">
        <f>J8*J10</f>
        <v>77.475572607365066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0.11451027816059459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84.601380468859531</v>
      </c>
      <c r="C26" s="243">
        <f>B26*'GWP N2O_CH4'!B5</f>
        <v>1776.6289898460502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12.577546298769935</v>
      </c>
      <c r="C27" s="243">
        <f>B27*'GWP N2O_CH4'!B5</f>
        <v>264.12847227416864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1.1997483596793865</v>
      </c>
      <c r="C28" s="243">
        <f>B28*'GWP N2O_CH4'!B4</f>
        <v>371.92199150060981</v>
      </c>
      <c r="D28" s="50"/>
    </row>
    <row r="29" spans="1:4">
      <c r="A29" s="41" t="s">
        <v>272</v>
      </c>
      <c r="B29" s="243">
        <f>B34*'ha_N2O bodem landbouw'!B4</f>
        <v>8.4532188576087108</v>
      </c>
      <c r="C29" s="243">
        <f>B29*'GWP N2O_CH4'!B4</f>
        <v>2620.4978458587002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1.9265127184518306E-3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6.7043994195033262E-4</v>
      </c>
      <c r="C5" s="434" t="s">
        <v>210</v>
      </c>
      <c r="D5" s="419">
        <f>SUM(D6:D11)</f>
        <v>1.2382472914121668E-3</v>
      </c>
      <c r="E5" s="419">
        <f>SUM(E6:E11)</f>
        <v>6.8027277129293566E-4</v>
      </c>
      <c r="F5" s="432" t="s">
        <v>210</v>
      </c>
      <c r="G5" s="419">
        <f>SUM(G6:G11)</f>
        <v>0.31456200705940895</v>
      </c>
      <c r="H5" s="419">
        <f>SUM(H6:H11)</f>
        <v>7.517994477522251E-2</v>
      </c>
      <c r="I5" s="434" t="s">
        <v>210</v>
      </c>
      <c r="J5" s="434" t="s">
        <v>210</v>
      </c>
      <c r="K5" s="434" t="s">
        <v>210</v>
      </c>
      <c r="L5" s="434" t="s">
        <v>210</v>
      </c>
      <c r="M5" s="419">
        <f>SUM(M6:M11)</f>
        <v>2.2936516765555869E-2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5.0969696871298832E-4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8.8569307344661522E-4</v>
      </c>
      <c r="E6" s="885">
        <f>vkm_GW_PW*SUMIFS(TableVerdeelsleutelVkm[LPG],TableVerdeelsleutelVkm[Voertuigtype],"Lichte voertuigen")*SUMIFS(TableECFTransport[EnergieConsumptieFactor (PJ per km)],TableECFTransport[Index],CONCATENATE($A6,"_LPG_LPG"))</f>
        <v>4.9250312532534725E-4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0.14800187185193084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5.396197725190946E-2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1.2083996292058453E-2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2.5824035642030497E-6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0.10687922184144452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1.0873001424820037E-6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6.0174649657066294E-3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1.5801513047157534E-4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3.5255421796555157E-4</v>
      </c>
      <c r="E8" s="422">
        <f>vkm_NGW_PW*SUMIFS(TableVerdeelsleutelVkm[LPG],TableVerdeelsleutelVkm[Voertuigtype],"Lichte voertuigen")*SUMIFS(TableECFTransport[EnergieConsumptieFactor (PJ per km)],TableECFTransport[Index],CONCATENATE($A8,"_LPG_LPG"))</f>
        <v>1.8776964596758838E-4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5.192937400408297E-2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2.1216806309756919E-2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4.3986322348608916E-3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1.4543920156584972E-7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7.7515393619505997E-3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7.3913413654200058E-8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4.364232729298961E-4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186.23331720842572</v>
      </c>
      <c r="C14" s="21"/>
      <c r="D14" s="21">
        <f t="shared" ref="D14:M14" si="0">((D5)*10^9/3600)+D12</f>
        <v>343.95758094782411</v>
      </c>
      <c r="E14" s="21">
        <f t="shared" si="0"/>
        <v>188.96465869248215</v>
      </c>
      <c r="F14" s="21"/>
      <c r="G14" s="21">
        <f t="shared" si="0"/>
        <v>87378.335294280274</v>
      </c>
      <c r="H14" s="21">
        <f t="shared" si="0"/>
        <v>20883.317993117365</v>
      </c>
      <c r="I14" s="21"/>
      <c r="J14" s="21"/>
      <c r="K14" s="21"/>
      <c r="L14" s="21"/>
      <c r="M14" s="21">
        <f t="shared" si="0"/>
        <v>6371.2546570988525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0.19872854768193562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37.009876658819671</v>
      </c>
      <c r="C18" s="23"/>
      <c r="D18" s="23">
        <f t="shared" ref="D18:M18" si="1">D14*D16</f>
        <v>69.479431351460477</v>
      </c>
      <c r="E18" s="23">
        <f t="shared" si="1"/>
        <v>42.894977523193447</v>
      </c>
      <c r="F18" s="23"/>
      <c r="G18" s="23">
        <f t="shared" si="1"/>
        <v>23330.015523572834</v>
      </c>
      <c r="H18" s="23">
        <f t="shared" si="1"/>
        <v>5199.9461802862243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2.8645800424926515E-5</v>
      </c>
      <c r="C50" s="315">
        <f t="shared" ref="C50:P50" si="2">SUM(C51:C52)</f>
        <v>0</v>
      </c>
      <c r="D50" s="315">
        <f t="shared" si="2"/>
        <v>0</v>
      </c>
      <c r="E50" s="315">
        <f t="shared" si="2"/>
        <v>0</v>
      </c>
      <c r="F50" s="315">
        <f t="shared" si="2"/>
        <v>0</v>
      </c>
      <c r="G50" s="315">
        <f t="shared" si="2"/>
        <v>2.0446855927754594E-3</v>
      </c>
      <c r="H50" s="315">
        <f t="shared" si="2"/>
        <v>0</v>
      </c>
      <c r="I50" s="315">
        <f t="shared" si="2"/>
        <v>0</v>
      </c>
      <c r="J50" s="315">
        <f t="shared" si="2"/>
        <v>0</v>
      </c>
      <c r="K50" s="315">
        <f t="shared" si="2"/>
        <v>0</v>
      </c>
      <c r="L50" s="315">
        <f t="shared" si="2"/>
        <v>0</v>
      </c>
      <c r="M50" s="315">
        <f t="shared" si="2"/>
        <v>1.1290466329335816E-4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2.8645800424926515E-5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2.0446855927754594E-3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1.1290466329335816E-4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7.9571667847018093</v>
      </c>
      <c r="C54" s="21">
        <f t="shared" ref="C54:P54" si="3">(C50)*10^9/3600</f>
        <v>0</v>
      </c>
      <c r="D54" s="21">
        <f t="shared" si="3"/>
        <v>0</v>
      </c>
      <c r="E54" s="21">
        <f t="shared" si="3"/>
        <v>0</v>
      </c>
      <c r="F54" s="21">
        <f t="shared" si="3"/>
        <v>0</v>
      </c>
      <c r="G54" s="21">
        <f t="shared" si="3"/>
        <v>567.96822021540538</v>
      </c>
      <c r="H54" s="21">
        <f t="shared" si="3"/>
        <v>0</v>
      </c>
      <c r="I54" s="21">
        <f t="shared" si="3"/>
        <v>0</v>
      </c>
      <c r="J54" s="21">
        <f t="shared" si="3"/>
        <v>0</v>
      </c>
      <c r="K54" s="21">
        <f t="shared" si="3"/>
        <v>0</v>
      </c>
      <c r="L54" s="21">
        <f t="shared" si="3"/>
        <v>0</v>
      </c>
      <c r="M54" s="21">
        <f t="shared" si="3"/>
        <v>31.362406470377266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0.19872854768193562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1.5813161987867279</v>
      </c>
      <c r="C58" s="23">
        <f t="shared" ref="C58:P58" ca="1" si="4">C54*C56</f>
        <v>0</v>
      </c>
      <c r="D58" s="23">
        <f t="shared" si="4"/>
        <v>0</v>
      </c>
      <c r="E58" s="23">
        <f t="shared" si="4"/>
        <v>0</v>
      </c>
      <c r="F58" s="23">
        <f t="shared" si="4"/>
        <v>0</v>
      </c>
      <c r="G58" s="23">
        <f t="shared" si="4"/>
        <v>151.64751479751325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14784.110170457488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5400</v>
      </c>
      <c r="C8" s="544">
        <f>B48</f>
        <v>6352.9411764705892</v>
      </c>
      <c r="D8" s="545"/>
      <c r="E8" s="545">
        <f>E48</f>
        <v>0</v>
      </c>
      <c r="F8" s="546"/>
      <c r="G8" s="547"/>
      <c r="H8" s="545">
        <f>I48</f>
        <v>0</v>
      </c>
      <c r="I8" s="545">
        <f>G48+F48</f>
        <v>0</v>
      </c>
      <c r="J8" s="545">
        <f>H48+D48+C48</f>
        <v>0</v>
      </c>
      <c r="K8" s="545"/>
      <c r="L8" s="545"/>
      <c r="M8" s="545"/>
      <c r="N8" s="548"/>
      <c r="O8" s="549">
        <f>C8*$C$12+D8*$D$12+E8*$E$12+F8*$F$12+G8*$G$12+H8*$H$12+I8*$I$12+J8*$J$12</f>
        <v>1283.294117647059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20184.11017045749</v>
      </c>
      <c r="C10" s="559">
        <f t="shared" ref="C10:L10" si="0">SUM(C8:C9)</f>
        <v>6352.9411764705892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1283.294117647059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7714.2857142857147</v>
      </c>
      <c r="C17" s="575">
        <f>B49</f>
        <v>9075.630252100842</v>
      </c>
      <c r="D17" s="576"/>
      <c r="E17" s="576">
        <f>E49</f>
        <v>0</v>
      </c>
      <c r="F17" s="577"/>
      <c r="G17" s="578"/>
      <c r="H17" s="575">
        <f>I49</f>
        <v>0</v>
      </c>
      <c r="I17" s="576">
        <f>G49+F49</f>
        <v>0</v>
      </c>
      <c r="J17" s="576">
        <f>H49+D49+C49</f>
        <v>0</v>
      </c>
      <c r="K17" s="576"/>
      <c r="L17" s="576"/>
      <c r="M17" s="576"/>
      <c r="N17" s="961"/>
      <c r="O17" s="579">
        <f>C17*$C$22+E17*$E$22+H17*$H$22+I17*$I$22+J17*$J$22+D17*$D$22+F17*$F$22+G17*$G$22+K17*$K$22+L17*$L$22</f>
        <v>1833.2773109243701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7714.2857142857147</v>
      </c>
      <c r="C20" s="558">
        <f>SUM(C17:C19)</f>
        <v>9075.630252100842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1833.2773109243701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12007</v>
      </c>
      <c r="C28" s="786">
        <v>2880</v>
      </c>
      <c r="D28" s="636" t="s">
        <v>883</v>
      </c>
      <c r="E28" s="635" t="s">
        <v>884</v>
      </c>
      <c r="F28" s="635" t="s">
        <v>885</v>
      </c>
      <c r="G28" s="635" t="s">
        <v>886</v>
      </c>
      <c r="H28" s="635" t="s">
        <v>887</v>
      </c>
      <c r="I28" s="635" t="s">
        <v>888</v>
      </c>
      <c r="J28" s="785">
        <v>42050</v>
      </c>
      <c r="K28" s="785">
        <v>42079</v>
      </c>
      <c r="L28" s="635" t="s">
        <v>889</v>
      </c>
      <c r="M28" s="635">
        <v>1200</v>
      </c>
      <c r="N28" s="635">
        <v>5400</v>
      </c>
      <c r="O28" s="635">
        <v>7714.2857142857147</v>
      </c>
      <c r="P28" s="635">
        <v>15428.571428571429</v>
      </c>
      <c r="Q28" s="635">
        <v>0</v>
      </c>
      <c r="R28" s="635">
        <v>0</v>
      </c>
      <c r="S28" s="635">
        <v>0</v>
      </c>
      <c r="T28" s="635">
        <v>0</v>
      </c>
      <c r="U28" s="635">
        <v>0</v>
      </c>
      <c r="V28" s="635">
        <v>0</v>
      </c>
      <c r="W28" s="635">
        <v>0</v>
      </c>
      <c r="X28" s="635">
        <v>500</v>
      </c>
      <c r="Y28" s="635" t="s">
        <v>40</v>
      </c>
      <c r="Z28" s="637" t="s">
        <v>379</v>
      </c>
    </row>
    <row r="29" spans="1:26" s="569" customFormat="1">
      <c r="A29" s="591" t="s">
        <v>275</v>
      </c>
      <c r="B29" s="592"/>
      <c r="C29" s="592"/>
      <c r="D29" s="592"/>
      <c r="E29" s="592"/>
      <c r="F29" s="592"/>
      <c r="G29" s="592"/>
      <c r="H29" s="592"/>
      <c r="I29" s="592"/>
      <c r="J29" s="592"/>
      <c r="K29" s="592"/>
      <c r="L29" s="593"/>
      <c r="M29" s="593">
        <f>SUM(M28:M28)</f>
        <v>1200</v>
      </c>
      <c r="N29" s="593">
        <f>SUM(N28:N28)</f>
        <v>5400</v>
      </c>
      <c r="O29" s="593">
        <f>SUM(O28:O28)</f>
        <v>7714.2857142857147</v>
      </c>
      <c r="P29" s="593">
        <f>SUM(P28:P28)</f>
        <v>15428.571428571429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1200</v>
      </c>
      <c r="N30" s="593">
        <f>SUMIF($Z$28:$Z$28,"industrie",N28:N28)</f>
        <v>5400</v>
      </c>
      <c r="O30" s="593">
        <f>SUMIF($Z$28:$Z$28,"industrie",O28:O28)</f>
        <v>7714.2857142857147</v>
      </c>
      <c r="P30" s="593">
        <f>SUMIF($Z$28:$Z$28,"industrie",P28:P28)</f>
        <v>15428.571428571429</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6352.9411764705892</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9075.630252100842</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2021-06-29T14:24:57Z</dcterms:modified>
</cp:coreProperties>
</file>