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22" i="59"/>
  <c r="C17" i="49"/>
  <c r="C10" i="13"/>
  <c r="C12" i="13" s="1"/>
  <c r="D41" i="14" s="1"/>
  <c r="D46" i="14" s="1"/>
  <c r="D61" i="14" s="1"/>
  <c r="D6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<sst xmlns="http://schemas.openxmlformats.org/spreadsheetml/2006/main" count="2482" uniqueCount="900">
  <si>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</si>
  <si>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</si>
  <si>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</si>
  <si>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</si>
  <si>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</si>
  <si>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</si>
  <si>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</si>
  <si>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</si>
  <si>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</si>
  <si>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</si>
  <si>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</si>
  <si>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</si>
  <si>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</si>
  <si>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</si>
  <si>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</si>
  <si>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</si>
  <si>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</si>
  <si>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</si>
  <si>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</si>
  <si>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</si>
  <si>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</si>
  <si>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</si>
  <si>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</si>
  <si>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</si>
  <si>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</si>
  <si>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</si>
  <si>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</si>
  <si>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</si>
  <si>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</si>
  <si>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</si>
  <si>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</si>
  <si>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</si>
  <si>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</si>
  <si>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</si>
  <si>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</si>
  <si>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</si>
  <si>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</si>
  <si>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</si>
  <si>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</si>
  <si>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</si>
  <si>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</si>
  <si>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</si>
  <si>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</si>
  <si>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</si>
  <si>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</si>
  <si>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</si>
  <si>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</si>
  <si>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</si>
  <si>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</si>
  <si>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</si>
  <si>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</si>
  <si>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</si>
  <si>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</si>
  <si>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</si>
  <si>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</si>
  <si>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</si>
  <si>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</si>
  <si>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</si>
  <si>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</si>
  <si>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</si>
  <si>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</si>
  <si>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</si>
  <si>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</si>
  <si>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</si>
  <si>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</si>
  <si>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</si>
  <si>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</si>
  <si>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</si>
  <si>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</si>
  <si>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</si>
  <si>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</si>
  <si>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</si>
  <si>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</si>
  <si>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</si>
  <si>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</si>
  <si>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</si>
  <si>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</si>
  <si>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</si>
  <si>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</si>
  <si>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</si>
  <si>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</si>
  <si>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</si>
  <si>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</si>
  <si>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</si>
  <si>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</si>
  <si>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</si>
  <si>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</si>
  <si>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</si>
  <si>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</si>
  <si>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</si>
  <si>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</si>
  <si>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</si>
  <si>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</si>
  <si>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</si>
  <si>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</si>
  <si>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</si>
  <si>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</si>
  <si>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</si>
  <si>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</si>
  <si>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</si>
  <si>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</si>
  <si>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</si>
  <si>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</si>
  <si>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</si>
  <si>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</si>
  <si>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</si>
  <si>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</si>
  <si>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</si>
  <si>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</si>
  <si>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</si>
  <si>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</si>
  <si>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</si>
  <si>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</si>
  <si>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</si>
  <si>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</si>
  <si>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</si>
  <si>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</si>
  <si>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</si>
  <si>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</si>
  <si>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</si>
  <si>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</si>
  <si>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</si>
  <si>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</si>
  <si>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</si>
  <si>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</si>
  <si>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</si>
  <si>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</si>
  <si>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</si>
  <si>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</si>
  <si>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</si>
  <si>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</si>
  <si>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</si>
  <si>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</si>
  <si>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</si>
  <si>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</si>
  <si>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</si>
  <si>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</si>
  <si>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</si>
  <si>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</si>
  <si>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</si>
  <si>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</si>
  <si>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</si>
  <si>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</si>
  <si>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</si>
  <si>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</si>
  <si>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</si>
  <si>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</si>
  <si>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</si>
  <si>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</si>
  <si>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</si>
  <si>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</si>
  <si>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</si>
  <si>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</si>
  <si>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</si>
  <si>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</si>
  <si>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</si>
  <si>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</si>
  <si>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</si>
  <si>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</si>
  <si>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</si>
  <si>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</si>
  <si>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</si>
  <si>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</si>
  <si>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</si>
  <si>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</si>
  <si>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</si>
  <si>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</si>
  <si>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</si>
  <si>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</si>
  <si>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</si>
  <si>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</si>
  <si>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</si>
  <si>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</si>
  <si>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</si>
  <si>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</si>
  <si>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</si>
  <si>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</si>
  <si>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</si>
  <si>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</si>
  <si>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</si>
  <si>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</si>
  <si>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</si>
  <si>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</si>
  <si>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</si>
  <si>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</si>
  <si>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</si>
  <si>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</si>
  <si>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</si>
  <si>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</si>
  <si>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</si>
  <si>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</si>
  <si>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</si>
  <si>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</si>
  <si>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</si>
  <si>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</si>
  <si>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</si>
  <si>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</si>
  <si>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</si>
  <si>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</si>
  <si>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</si>
  <si>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</si>
  <si>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</si>
  <si>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</si>
  <si>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</si>
  <si>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</si>
  <si>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</si>
  <si>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</si>
  <si>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</si>
  <si>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</si>
  <si>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</si>
  <si>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</si>
  <si>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</si>
  <si>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</si>
  <si>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</si>
  <si>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</si>
  <si>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</si>
  <si>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</si>
  <si>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</si>
  <si>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</si>
  <si>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</si>
  <si>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</si>
  <si>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</si>
  <si>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</si>
  <si>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</si>
  <si>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</si>
  <si>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</si>
  <si>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</si>
  <si>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</si>
  <si>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</si>
  <si>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</si>
  <si>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</si>
  <si>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</si>
  <si>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</si>
  <si>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</si>
  <si>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</si>
  <si>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</si>
  <si>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</si>
  <si>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</si>
  <si>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</si>
  <si>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</si>
  <si>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</si>
  <si>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</si>
  <si>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</si>
  <si>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</si>
  <si>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</si>
  <si>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</si>
  <si>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</si>
  <si>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</si>
  <si>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</si>
  <si>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</si>
  <si>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</si>
  <si>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</si>
  <si>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</si>
  <si>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</si>
  <si>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</si>
  <si>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</si>
  <si>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</si>
  <si>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</si>
  <si>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</si>
  <si>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</si>
  <si>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</si>
  <si>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</si>
  <si>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</si>
  <si>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</si>
  <si>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</si>
  <si>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</si>
  <si>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</si>
  <si>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</si>
  <si>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</si>
  <si>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</si>
  <si>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</si>
  <si>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</si>
  <si>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</si>
  <si>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</si>
  <si>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</si>
  <si>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</si>
  <si>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</si>
  <si>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</si>
  <si>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</si>
  <si>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</si>
  <si>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</si>
  <si>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</si>
  <si>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</si>
  <si>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</si>
  <si>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</si>
  <si>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</si>
  <si>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</si>
  <si>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</si>
  <si>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</si>
  <si>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</si>
  <si>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</si>
  <si>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</si>
  <si>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</si>
  <si>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</si>
  <si>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</si>
  <si>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</si>
  <si>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</si>
  <si>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</si>
  <si>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</si>
  <si>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</si>
  <si>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</si>
  <si>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</si>
  <si>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</si>
  <si>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</si>
  <si>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</si>
  <si>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</si>
  <si>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</si>
  <si>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</si>
  <si>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</si>
  <si>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</si>
  <si>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</si>
  <si>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</si>
  <si>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</si>
  <si>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</si>
  <si>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</si>
  <si>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</si>
  <si>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</si>
  <si>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</si>
  <si>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</si>
  <si>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</si>
  <si>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</si>
  <si>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</si>
  <si>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</si>
  <si>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</si>
  <si>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</si>
  <si>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</si>
  <si>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</si>
  <si>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</si>
  <si>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</si>
  <si>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</si>
  <si>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</si>
  <si>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</si>
  <si>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</si>
  <si>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</si>
  <si>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</si>
  <si>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</si>
  <si>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</si>
  <si>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</si>
  <si>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</si>
  <si>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</si>
  <si>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</si>
  <si>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</si>
  <si>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</si>
  <si>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</si>
  <si>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</si>
  <si>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</si>
  <si>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</si>
  <si>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</si>
  <si>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</si>
  <si>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</si>
  <si>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</si>
  <si>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</si>
  <si>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</si>
  <si>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</si>
  <si>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</si>
  <si>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</si>
  <si>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</si>
  <si>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</si>
  <si>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</si>
  <si>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</si>
  <si>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</si>
  <si>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</si>
  <si>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</si>
  <si>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</si>
  <si>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</si>
  <si>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</si>
  <si>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</si>
  <si>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</si>
  <si>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</si>
  <si>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</si>
  <si>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</si>
  <si>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</si>
  <si>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</si>
  <si>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</si>
  <si>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</si>
  <si>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</si>
  <si>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</si>
  <si>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</si>
  <si>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</si>
  <si>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</si>
  <si>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</si>
  <si>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</si>
  <si>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</si>
  <si>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</si>
  <si>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</si>
  <si>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</si>
  <si>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</si>
  <si>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</si>
  <si>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</si>
  <si>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</si>
  <si>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</si>
  <si>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</si>
  <si>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</si>
  <si>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</si>
  <si>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</si>
  <si>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</si>
  <si>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</si>
  <si>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</si>
  <si>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</si>
  <si>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</si>
  <si>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</si>
  <si>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</si>
  <si>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</si>
  <si>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</si>
  <si>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</si>
  <si>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</si>
  <si>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</si>
  <si>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</si>
  <si>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</si>
  <si>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</si>
  <si>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</si>
  <si>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</si>
  <si>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</si>
  <si>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</si>
  <si>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</si>
  <si>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</si>
  <si>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</si>
  <si>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</si>
  <si>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</si>
  <si>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</si>
  <si>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</si>
  <si>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</si>
  <si>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</si>
  <si>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</si>
  <si>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</si>
  <si>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</si>
  <si>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</si>
  <si>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</si>
  <si>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</si>
  <si>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</si>
  <si>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</si>
  <si>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</si>
  <si>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</si>
  <si>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</si>
  <si>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</si>
  <si>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</si>
  <si>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</si>
  <si>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</si>
  <si>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</si>
  <si>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</si>
  <si>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</si>
  <si>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</si>
  <si>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</si>
  <si>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</si>
  <si>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</si>
  <si>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</si>
  <si>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</si>
  <si>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</si>
  <si>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</si>
  <si>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</si>
  <si>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</si>
  <si>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</si>
  <si>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</si>
  <si>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</si>
  <si>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</si>
  <si>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</si>
  <si>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</si>
  <si>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</si>
  <si>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</si>
  <si>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</si>
  <si>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</si>
  <si>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</si>
  <si>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</si>
  <si>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</si>
  <si>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</si>
  <si>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</si>
  <si>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</si>
  <si>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</si>
  <si>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</si>
  <si>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</si>
  <si>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</si>
  <si>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</si>
  <si>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</si>
  <si>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</si>
  <si>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</si>
  <si>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</si>
  <si>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</si>
  <si>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</si>
  <si>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</si>
  <si>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</si>
  <si>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</si>
  <si>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</si>
  <si>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</si>
  <si>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</si>
  <si>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</si>
  <si>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</si>
  <si>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</si>
  <si>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</si>
  <si>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</si>
  <si>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</si>
  <si>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</si>
  <si>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</si>
  <si>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</si>
  <si>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</si>
  <si>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</si>
  <si>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</si>
  <si>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</si>
  <si>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</si>
  <si>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</si>
  <si>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</si>
  <si>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</si>
  <si>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</si>
  <si>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</si>
  <si>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</si>
  <si>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</si>
  <si>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</si>
  <si>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</si>
  <si>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</si>
  <si>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</si>
  <si>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</si>
  <si>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</si>
  <si>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</si>
  <si>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</si>
  <si>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</si>
  <si>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</si>
  <si>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</si>
  <si>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</si>
  <si>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</si>
  <si>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</si>
  <si>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</si>
  <si>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</si>
  <si>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</si>
  <si>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</si>
  <si>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</si>
  <si>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</si>
  <si>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</si>
  <si>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</si>
  <si>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</si>
  <si>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</si>
  <si>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</si>
  <si>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</si>
  <si>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</si>
  <si>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</si>
  <si>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</si>
  <si>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</si>
  <si>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</si>
  <si>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</si>
  <si>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</si>
  <si>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</si>
  <si>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</si>
  <si>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</si>
  <si>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</si>
  <si>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</si>
  <si>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</si>
  <si>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</si>
  <si>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</si>
  <si>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</si>
  <si>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</si>
  <si>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</si>
  <si>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</si>
  <si>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</si>
  <si>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</si>
  <si>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</si>
  <si>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</si>
  <si>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</si>
  <si>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</si>
  <si>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</si>
  <si>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</si>
  <si>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</si>
  <si>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</si>
  <si>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</si>
  <si>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</si>
  <si>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</si>
  <si>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</si>
  <si>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</si>
  <si>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</si>
  <si>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</si>
  <si>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</si>
  <si>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</si>
  <si>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</si>
  <si>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</si>
  <si>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</si>
  <si>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</si>
  <si>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</si>
  <si>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</si>
  <si>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</si>
  <si>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</si>
  <si>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</si>
  <si>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</si>
  <si>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</si>
  <si>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</si>
  <si>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</si>
  <si>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</si>
  <si>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</si>
  <si>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</si>
  <si>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</si>
  <si>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</si>
  <si>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</si>
  <si>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</si>
  <si>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</si>
  <si>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</si>
  <si>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</si>
  <si>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</si>
  <si>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</si>
  <si>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</si>
  <si>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</si>
  <si>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</si>
  <si>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</si>
  <si>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</si>
  <si>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</si>
  <si>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</si>
  <si>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</si>
  <si>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</si>
  <si>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</si>
  <si>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</si>
  <si>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</si>
  <si>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</si>
  <si>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</si>
  <si>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</si>
  <si>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</si>
  <si>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</si>
  <si>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</si>
  <si>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</si>
  <si>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</si>
  <si>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</si>
  <si>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</si>
  <si>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</si>
  <si>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</si>
  <si>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</si>
  <si>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</si>
  <si>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</si>
  <si>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</si>
  <si>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</si>
  <si>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</si>
  <si>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</si>
  <si>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</si>
  <si>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</si>
  <si>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</si>
  <si>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</si>
  <si>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</si>
  <si>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</si>
  <si>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</si>
  <si>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</si>
  <si>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</si>
  <si>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</si>
  <si>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</si>
  <si>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</si>
  <si>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</si>
  <si>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</si>
  <si>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</si>
  <si>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</si>
  <si>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</si>
  <si>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</si>
  <si>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</si>
  <si>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</si>
  <si>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</si>
  <si>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</si>
  <si>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</si>
  <si>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</si>
  <si>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</si>
  <si>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</si>
  <si>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</si>
  <si>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</si>
  <si>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</si>
  <si>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</si>
  <si>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</si>
  <si>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</si>
  <si>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</si>
  <si>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</si>
  <si>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</si>
  <si>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</si>
  <si>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</si>
  <si>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</si>
  <si>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</si>
  <si>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</si>
  <si>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</si>
  <si>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</si>
  <si>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</si>
  <si>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</si>
  <si>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</si>
  <si>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</si>
  <si>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</si>
  <si>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</si>
  <si>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</si>
  <si>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</si>
  <si>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</si>
  <si>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</si>
  <si>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</si>
  <si>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</si>
  <si>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</si>
  <si>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</si>
  <si>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</si>
  <si>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</si>
  <si>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</si>
  <si>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</si>
  <si>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</si>
  <si>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</si>
  <si>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</si>
  <si>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</si>
  <si>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</si>
  <si>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</si>
  <si>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</si>
  <si>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</si>
  <si>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</si>
  <si>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</si>
  <si>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</si>
  <si>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</si>
  <si>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</si>
  <si>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</si>
  <si>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</si>
  <si>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</si>
  <si>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</si>
  <si>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</si>
  <si>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</si>
  <si>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</si>
  <si>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</si>
  <si>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</si>
  <si>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</si>
  <si>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</si>
  <si>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</si>
  <si>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</si>
  <si>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</si>
  <si>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</si>
  <si>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</si>
  <si>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</si>
  <si>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</si>
  <si>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</si>
  <si>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</si>
  <si>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</si>
  <si>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</si>
  <si>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</si>
  <si>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</si>
  <si>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</si>
  <si>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</si>
  <si>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</si>
  <si>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</si>
  <si>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</si>
  <si>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</si>
  <si>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</si>
  <si>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</si>
  <si>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</si>
  <si>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</si>
  <si>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</si>
  <si>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</si>
  <si>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</si>
  <si>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</si>
  <si>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</si>
  <si>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</si>
  <si>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</si>
  <si>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</si>
  <si>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</si>
  <si>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</si>
  <si>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</si>
  <si>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</si>
  <si>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</si>
  <si>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</si>
  <si>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</si>
  <si>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</si>
  <si>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</si>
  <si>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</si>
  <si>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</si>
  <si>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</si>
  <si>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</si>
  <si>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</si>
  <si>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</si>
  <si>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</si>
  <si>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</si>
  <si>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</si>
  <si>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</si>
  <si>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</si>
  <si>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</si>
  <si>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</si>
  <si>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</si>
  <si>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</si>
  <si>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</si>
  <si>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</si>
  <si>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</si>
  <si>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</si>
  <si>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</si>
  <si>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</si>
  <si>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</si>
  <si>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</si>
  <si>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</si>
  <si>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</si>
  <si>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</si>
  <si>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</si>
  <si>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</si>
  <si>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</si>
  <si>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</si>
  <si>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</si>
  <si>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</si>
  <si>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</si>
  <si>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</si>
  <si>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</si>
  <si>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</si>
  <si>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</si>
  <si>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</si>
  <si>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</si>
  <si>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</si>
  <si>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</si>
  <si>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</si>
  <si>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</si>
  <si>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</si>
  <si>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</si>
  <si>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</si>
  <si>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</si>
  <si>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</si>
  <si>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</si>
  <si>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</si>
  <si>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</si>
  <si>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</si>
  <si>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</si>
  <si>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</si>
  <si>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</si>
  <si>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</si>
  <si>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</si>
  <si>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</si>
  <si>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</si>
  <si>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</si>
  <si>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</si>
  <si>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</si>
  <si>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</si>
  <si>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</si>
  <si>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</si>
  <si>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</si>
  <si>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</si>
  <si>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</si>
  <si>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</si>
  <si>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</si>
  <si>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</si>
  <si>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</si>
  <si>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</si>
  <si>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</si>
  <si>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</si>
  <si>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</si>
  <si>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</si>
  <si>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</si>
  <si>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</si>
  <si>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</si>
  <si>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</si>
  <si>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</si>
  <si>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</si>
  <si>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</si>
  <si>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</si>
  <si>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</si>
  <si>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</si>
  <si>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</si>
  <si>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</si>
  <si>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</si>
  <si>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</si>
  <si>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</si>
  <si>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</si>
  <si>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</si>
  <si>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</si>
  <si>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</si>
  <si>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</si>
  <si>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</si>
  <si>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</si>
  <si>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</si>
  <si>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</si>
  <si>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</si>
  <si>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</si>
  <si>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</si>
  <si>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</si>
  <si>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</si>
  <si>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</si>
  <si>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</si>
  <si>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</si>
  <si>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</si>
  <si>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</si>
  <si>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</si>
  <si>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</si>
  <si>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</si>
  <si>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</si>
  <si>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</si>
  <si>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</si>
  <si>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</si>
  <si>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</si>
  <si>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</si>
  <si>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</si>
  <si>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</si>
  <si>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</si>
  <si>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</si>
  <si>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</si>
  <si>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</si>
  <si>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</si>
  <si>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</si>
  <si>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</si>
  <si>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</si>
  <si>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11024</t>
  </si>
  <si>
    <t>KONTICH</t>
  </si>
  <si>
    <t>referentietaak LNE (2017); Jaarverslag De Lijn</t>
  </si>
  <si>
    <t>waterkracht</t>
  </si>
  <si>
    <t>Eric Van Den Eynde</t>
  </si>
  <si>
    <t>Pierstraat 350, 2550 Kontich</t>
  </si>
  <si>
    <t>WKK-0096 Eric Van Den Eynde</t>
  </si>
  <si>
    <t>interne verbrandingsmotor</t>
  </si>
  <si>
    <t>WKK interne verbrandinsgmotor (gas)</t>
  </si>
  <si>
    <t>IVEKA (via EANDIS)</t>
  </si>
  <si>
    <t>Groeikracht De Boskapel NV</t>
  </si>
  <si>
    <t>Lerenveld 1C, 2550 Kontich</t>
  </si>
  <si>
    <t>WKK-0138 Groeikracht De Boskapel</t>
  </si>
  <si>
    <t>Boskapelweg 1, 2550 Kontich</t>
  </si>
  <si>
    <t>IVEKA</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</si>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</sst>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174666.10229289034</c:v>
                </c:pt>
                <c:pt idx="1">
                  <c:v>96070.247699263287</c:v>
                </c:pt>
                <c:pt idx="2">
                  <c:v>1362.9549999999999</c:v>
                </c:pt>
                <c:pt idx="3">
                  <c:v>50528.310208021969</c:v>
                </c:pt>
                <c:pt idx="4">
                  <c:v>27092.525379932569</c:v>
                </c:pt>
                <c:pt idx="5">
                  <c:v>412259.76468145906</c:v>
                </c:pt>
                <c:pt idx="6">
                  <c:v>1902.093090663838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174666.10229289034</c:v>
                </c:pt>
                <c:pt idx="1">
                  <c:v>96070.247699263287</c:v>
                </c:pt>
                <c:pt idx="2">
                  <c:v>1362.9549999999999</c:v>
                </c:pt>
                <c:pt idx="3">
                  <c:v>50528.310208021969</c:v>
                </c:pt>
                <c:pt idx="4">
                  <c:v>27092.525379932569</c:v>
                </c:pt>
                <c:pt idx="5">
                  <c:v>412259.76468145906</c:v>
                </c:pt>
                <c:pt idx="6">
                  <c:v>1902.093090663838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34667.280003988366</c:v>
                </c:pt>
                <c:pt idx="1">
                  <c:v>20397.070837205938</c:v>
                </c:pt>
                <c:pt idx="2">
                  <c:v>281.12202909415765</c:v>
                </c:pt>
                <c:pt idx="3">
                  <c:v>12155.526256764517</c:v>
                </c:pt>
                <c:pt idx="4">
                  <c:v>5688.6693799997829</c:v>
                </c:pt>
                <c:pt idx="5">
                  <c:v>102764.8186445279</c:v>
                </c:pt>
                <c:pt idx="6">
                  <c:v>480.11747077635698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34667.280003988366</c:v>
                </c:pt>
                <c:pt idx="1">
                  <c:v>20397.070837205938</c:v>
                </c:pt>
                <c:pt idx="2">
                  <c:v>281.12202909415765</c:v>
                </c:pt>
                <c:pt idx="3">
                  <c:v>12155.526256764517</c:v>
                </c:pt>
                <c:pt idx="4">
                  <c:v>5688.6693799997829</c:v>
                </c:pt>
                <c:pt idx="5">
                  <c:v>102764.8186445279</c:v>
                </c:pt>
                <c:pt idx="6">
                  <c:v>480.11747077635698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11024</v>
      </c>
      <c r="B6" s="386"/>
      <c r="C6" s="387"/>
    </row>
    <row r="7" spans="1:7" s="384" customFormat="1" ht="15.75" customHeight="1">
      <c r="A7" s="388" t="str">
        <f>txtMunicipality</f>
        <v>KONTICH</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54287.292765697312</v>
      </c>
      <c r="D10" s="682">
        <f ca="1">tertiair!C16</f>
        <v>18392.142857142859</v>
      </c>
      <c r="E10" s="682">
        <f ca="1">tertiair!D16</f>
        <v>19093.477195735933</v>
      </c>
      <c r="F10" s="682">
        <f>tertiair!E16</f>
        <v>88.364801463964909</v>
      </c>
      <c r="G10" s="682">
        <f ca="1">tertiair!F16</f>
        <v>4618.7281227633312</v>
      </c>
      <c r="H10" s="682">
        <f>tertiair!G16</f>
        <v>0</v>
      </c>
      <c r="I10" s="682">
        <f>tertiair!H16</f>
        <v>0</v>
      </c>
      <c r="J10" s="682">
        <f>tertiair!I16</f>
        <v>0</v>
      </c>
      <c r="K10" s="682">
        <f>tertiair!J16</f>
        <v>1.6905289184419886E-2</v>
      </c>
      <c r="L10" s="682">
        <f>tertiair!K16</f>
        <v>0</v>
      </c>
      <c r="M10" s="682">
        <f ca="1">tertiair!L16</f>
        <v>0</v>
      </c>
      <c r="N10" s="682">
        <f>tertiair!M16</f>
        <v>0</v>
      </c>
      <c r="O10" s="682">
        <f ca="1">tertiair!N16</f>
        <v>637.94522133173336</v>
      </c>
      <c r="P10" s="682">
        <f>tertiair!O16</f>
        <v>0</v>
      </c>
      <c r="Q10" s="683">
        <f>tertiair!P16</f>
        <v>315.23482983897009</v>
      </c>
      <c r="R10" s="685">
        <f ca="1">SUM(C10:Q10)</f>
        <v>97433.202699263289</v>
      </c>
      <c r="S10" s="67"/>
    </row>
    <row r="11" spans="1:19" s="445" customFormat="1">
      <c r="A11" s="803" t="s">
        <v>220</v>
      </c>
      <c r="B11" s="808"/>
      <c r="C11" s="682">
        <f>huishoudens!B8</f>
        <v>35366.887508207416</v>
      </c>
      <c r="D11" s="682">
        <f>huishoudens!C8</f>
        <v>0</v>
      </c>
      <c r="E11" s="682">
        <f>huishoudens!D8</f>
        <v>100653.17537951612</v>
      </c>
      <c r="F11" s="682">
        <f>huishoudens!E8</f>
        <v>1111.935944835423</v>
      </c>
      <c r="G11" s="682">
        <f>huishoudens!F8</f>
        <v>25256.380292043716</v>
      </c>
      <c r="H11" s="682">
        <f>huishoudens!G8</f>
        <v>0</v>
      </c>
      <c r="I11" s="682">
        <f>huishoudens!H8</f>
        <v>0</v>
      </c>
      <c r="J11" s="682">
        <f>huishoudens!I8</f>
        <v>0</v>
      </c>
      <c r="K11" s="682">
        <f>huishoudens!J8</f>
        <v>126.35340936049055</v>
      </c>
      <c r="L11" s="682">
        <f>huishoudens!K8</f>
        <v>0</v>
      </c>
      <c r="M11" s="682">
        <f>huishoudens!L8</f>
        <v>0</v>
      </c>
      <c r="N11" s="682">
        <f>huishoudens!M8</f>
        <v>0</v>
      </c>
      <c r="O11" s="682">
        <f>huishoudens!N8</f>
        <v>11095.048048691559</v>
      </c>
      <c r="P11" s="682">
        <f>huishoudens!O8</f>
        <v>361.08039592843977</v>
      </c>
      <c r="Q11" s="683">
        <f>huishoudens!P8</f>
        <v>695.2413143072115</v>
      </c>
      <c r="R11" s="685">
        <f>SUM(C11:Q11)</f>
        <v>174666.10229289034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11893.842923398128</v>
      </c>
      <c r="D13" s="682">
        <f>industrie!C18</f>
        <v>0</v>
      </c>
      <c r="E13" s="682">
        <f>industrie!D18</f>
        <v>11077.400964955457</v>
      </c>
      <c r="F13" s="682">
        <f>industrie!E18</f>
        <v>44.772970701988307</v>
      </c>
      <c r="G13" s="682">
        <f>industrie!F18</f>
        <v>3696.4060013975709</v>
      </c>
      <c r="H13" s="682">
        <f>industrie!G18</f>
        <v>0</v>
      </c>
      <c r="I13" s="682">
        <f>industrie!H18</f>
        <v>0</v>
      </c>
      <c r="J13" s="682">
        <f>industrie!I18</f>
        <v>0</v>
      </c>
      <c r="K13" s="682">
        <f>industrie!J18</f>
        <v>2.0220548406912204</v>
      </c>
      <c r="L13" s="682">
        <f>industrie!K18</f>
        <v>0</v>
      </c>
      <c r="M13" s="682">
        <f>industrie!L18</f>
        <v>0</v>
      </c>
      <c r="N13" s="682">
        <f>industrie!M18</f>
        <v>0</v>
      </c>
      <c r="O13" s="682">
        <f>industrie!N18</f>
        <v>378.0804646387304</v>
      </c>
      <c r="P13" s="682">
        <f>industrie!O18</f>
        <v>0</v>
      </c>
      <c r="Q13" s="683">
        <f>industrie!P18</f>
        <v>0</v>
      </c>
      <c r="R13" s="685">
        <f>SUM(C13:Q13)</f>
        <v>27092.525379932569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101548.02319730286</v>
      </c>
      <c r="D16" s="718">
        <f t="shared" ref="D16:R16" ca="1" si="0">SUM(D9:D15)</f>
        <v>18392.142857142859</v>
      </c>
      <c r="E16" s="718">
        <f t="shared" ca="1" si="0"/>
        <v>130824.0535402075</v>
      </c>
      <c r="F16" s="718">
        <f t="shared" si="0"/>
        <v>1245.0737170013761</v>
      </c>
      <c r="G16" s="718">
        <f t="shared" ca="1" si="0"/>
        <v>33571.51441620462</v>
      </c>
      <c r="H16" s="718">
        <f t="shared" si="0"/>
        <v>0</v>
      </c>
      <c r="I16" s="718">
        <f t="shared" si="0"/>
        <v>0</v>
      </c>
      <c r="J16" s="718">
        <f t="shared" si="0"/>
        <v>0</v>
      </c>
      <c r="K16" s="718">
        <f t="shared" si="0"/>
        <v>128.39236949036618</v>
      </c>
      <c r="L16" s="718">
        <f t="shared" si="0"/>
        <v>0</v>
      </c>
      <c r="M16" s="718">
        <f t="shared" ca="1" si="0"/>
        <v>0</v>
      </c>
      <c r="N16" s="718">
        <f t="shared" si="0"/>
        <v>0</v>
      </c>
      <c r="O16" s="718">
        <f t="shared" ca="1" si="0"/>
        <v>12111.073734662021</v>
      </c>
      <c r="P16" s="718">
        <f t="shared" si="0"/>
        <v>361.08039592843977</v>
      </c>
      <c r="Q16" s="718">
        <f t="shared" si="0"/>
        <v>1010.4761441461816</v>
      </c>
      <c r="R16" s="718">
        <f t="shared" ca="1" si="0"/>
        <v>299191.8303720862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24.922733710729045</v>
      </c>
      <c r="D19" s="682">
        <f>transport!C54</f>
        <v>0</v>
      </c>
      <c r="E19" s="682">
        <f>transport!D54</f>
        <v>0</v>
      </c>
      <c r="F19" s="682">
        <f>transport!E54</f>
        <v>0</v>
      </c>
      <c r="G19" s="682">
        <f>transport!F54</f>
        <v>0</v>
      </c>
      <c r="H19" s="682">
        <f>transport!G54</f>
        <v>1778.9398025186326</v>
      </c>
      <c r="I19" s="682">
        <f>transport!H54</f>
        <v>0</v>
      </c>
      <c r="J19" s="682">
        <f>transport!I54</f>
        <v>0</v>
      </c>
      <c r="K19" s="682">
        <f>transport!J54</f>
        <v>0</v>
      </c>
      <c r="L19" s="682">
        <f>transport!K54</f>
        <v>0</v>
      </c>
      <c r="M19" s="682">
        <f>transport!L54</f>
        <v>0</v>
      </c>
      <c r="N19" s="682">
        <f>transport!M54</f>
        <v>98.230554434476332</v>
      </c>
      <c r="O19" s="682">
        <f>transport!N54</f>
        <v>0</v>
      </c>
      <c r="P19" s="682">
        <f>transport!O54</f>
        <v>0</v>
      </c>
      <c r="Q19" s="683">
        <f>transport!P54</f>
        <v>0</v>
      </c>
      <c r="R19" s="685">
        <f>SUM(C19:Q19)</f>
        <v>1902.093090663838</v>
      </c>
      <c r="S19" s="67"/>
    </row>
    <row r="20" spans="1:19" s="445" customFormat="1">
      <c r="A20" s="803" t="s">
        <v>302</v>
      </c>
      <c r="B20" s="808"/>
      <c r="C20" s="682">
        <f>transport!B14</f>
        <v>636.54172669337174</v>
      </c>
      <c r="D20" s="682">
        <f>transport!C14</f>
        <v>0</v>
      </c>
      <c r="E20" s="682">
        <f>transport!D14</f>
        <v>1010.8857176920585</v>
      </c>
      <c r="F20" s="682">
        <f>transport!E14</f>
        <v>621.91046800151128</v>
      </c>
      <c r="G20" s="682">
        <f>transport!F14</f>
        <v>0</v>
      </c>
      <c r="H20" s="682">
        <f>transport!G14</f>
        <v>324340.65867165278</v>
      </c>
      <c r="I20" s="682">
        <f>transport!H14</f>
        <v>63008.825665825534</v>
      </c>
      <c r="J20" s="682">
        <f>transport!I14</f>
        <v>0</v>
      </c>
      <c r="K20" s="682">
        <f>transport!J14</f>
        <v>0</v>
      </c>
      <c r="L20" s="682">
        <f>transport!K14</f>
        <v>0</v>
      </c>
      <c r="M20" s="682">
        <f>transport!L14</f>
        <v>0</v>
      </c>
      <c r="N20" s="682">
        <f>transport!M14</f>
        <v>22640.942431593856</v>
      </c>
      <c r="O20" s="682">
        <f>transport!N14</f>
        <v>0</v>
      </c>
      <c r="P20" s="682">
        <f>transport!O14</f>
        <v>0</v>
      </c>
      <c r="Q20" s="683">
        <f>transport!P14</f>
        <v>0</v>
      </c>
      <c r="R20" s="685">
        <f>SUM(C20:Q20)</f>
        <v>412259.76468145906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661.46446040410081</v>
      </c>
      <c r="D22" s="806">
        <f t="shared" ref="D22:R22" si="1">SUM(D18:D21)</f>
        <v>0</v>
      </c>
      <c r="E22" s="806">
        <f t="shared" si="1"/>
        <v>1010.8857176920585</v>
      </c>
      <c r="F22" s="806">
        <f t="shared" si="1"/>
        <v>621.91046800151128</v>
      </c>
      <c r="G22" s="806">
        <f t="shared" si="1"/>
        <v>0</v>
      </c>
      <c r="H22" s="806">
        <f t="shared" si="1"/>
        <v>326119.59847417142</v>
      </c>
      <c r="I22" s="806">
        <f t="shared" si="1"/>
        <v>63008.825665825534</v>
      </c>
      <c r="J22" s="806">
        <f t="shared" si="1"/>
        <v>0</v>
      </c>
      <c r="K22" s="806">
        <f t="shared" si="1"/>
        <v>0</v>
      </c>
      <c r="L22" s="806">
        <f t="shared" si="1"/>
        <v>0</v>
      </c>
      <c r="M22" s="806">
        <f t="shared" si="1"/>
        <v>0</v>
      </c>
      <c r="N22" s="806">
        <f t="shared" si="1"/>
        <v>22739.172986028334</v>
      </c>
      <c r="O22" s="806">
        <f t="shared" si="1"/>
        <v>0</v>
      </c>
      <c r="P22" s="806">
        <f t="shared" si="1"/>
        <v>0</v>
      </c>
      <c r="Q22" s="806">
        <f t="shared" si="1"/>
        <v>0</v>
      </c>
      <c r="R22" s="806">
        <f t="shared" si="1"/>
        <v>414161.85777212289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1571.80309114285</v>
      </c>
      <c r="D24" s="682">
        <f>+landbouw!C8</f>
        <v>43385.747104247108</v>
      </c>
      <c r="E24" s="682">
        <f>+landbouw!D8</f>
        <v>0</v>
      </c>
      <c r="F24" s="682">
        <f>+landbouw!E8</f>
        <v>58.617345071404316</v>
      </c>
      <c r="G24" s="682">
        <f>+landbouw!F8</f>
        <v>5099.5365962897113</v>
      </c>
      <c r="H24" s="682">
        <f>+landbouw!G8</f>
        <v>0</v>
      </c>
      <c r="I24" s="682">
        <f>+landbouw!H8</f>
        <v>0</v>
      </c>
      <c r="J24" s="682">
        <f>+landbouw!I8</f>
        <v>0</v>
      </c>
      <c r="K24" s="682">
        <f>+landbouw!J8</f>
        <v>412.60607127089133</v>
      </c>
      <c r="L24" s="682">
        <f>+landbouw!K8</f>
        <v>0</v>
      </c>
      <c r="M24" s="682">
        <f>+landbouw!L8</f>
        <v>0</v>
      </c>
      <c r="N24" s="682">
        <f>+landbouw!M8</f>
        <v>0</v>
      </c>
      <c r="O24" s="682">
        <f>+landbouw!N8</f>
        <v>0</v>
      </c>
      <c r="P24" s="682">
        <f>+landbouw!O8</f>
        <v>0</v>
      </c>
      <c r="Q24" s="683">
        <f>+landbouw!P8</f>
        <v>0</v>
      </c>
      <c r="R24" s="685">
        <f>SUM(C24:Q24)</f>
        <v>50528.310208021969</v>
      </c>
      <c r="S24" s="67"/>
    </row>
    <row r="25" spans="1:19" s="445" customFormat="1" ht="15" thickBot="1">
      <c r="A25" s="825" t="s">
        <v>703</v>
      </c>
      <c r="B25" s="938"/>
      <c r="C25" s="939">
        <f>IF(Onbekend_ele_kWh="---",0,Onbekend_ele_kWh)/1000+IF(REST_rest_ele_kWh="---",0,REST_rest_ele_kWh)/1000</f>
        <v>1508.6013959357101</v>
      </c>
      <c r="D25" s="939"/>
      <c r="E25" s="939">
        <f>IF(onbekend_gas_kWh="---",0,onbekend_gas_kWh)/1000+IF(REST_rest_gas_kWh="---",0,REST_rest_gas_kWh)/1000</f>
        <v>2371.8578791406699</v>
      </c>
      <c r="F25" s="939"/>
      <c r="G25" s="939"/>
      <c r="H25" s="939"/>
      <c r="I25" s="939"/>
      <c r="J25" s="939"/>
      <c r="K25" s="939"/>
      <c r="L25" s="939"/>
      <c r="M25" s="939"/>
      <c r="N25" s="939"/>
      <c r="O25" s="939"/>
      <c r="P25" s="939"/>
      <c r="Q25" s="940"/>
      <c r="R25" s="685">
        <f>SUM(C25:Q25)</f>
        <v>3880.45927507638</v>
      </c>
      <c r="S25" s="67"/>
    </row>
    <row r="26" spans="1:19" s="445" customFormat="1" ht="15.75" thickBot="1">
      <c r="A26" s="690" t="s">
        <v>704</v>
      </c>
      <c r="B26" s="811"/>
      <c r="C26" s="806">
        <f>SUM(C24:C25)</f>
        <v>3080.4044870785601</v>
      </c>
      <c r="D26" s="806">
        <f t="shared" ref="D26:R26" si="2">SUM(D24:D25)</f>
        <v>43385.747104247108</v>
      </c>
      <c r="E26" s="806">
        <f t="shared" si="2"/>
        <v>2371.8578791406699</v>
      </c>
      <c r="F26" s="806">
        <f t="shared" si="2"/>
        <v>58.617345071404316</v>
      </c>
      <c r="G26" s="806">
        <f t="shared" si="2"/>
        <v>5099.5365962897113</v>
      </c>
      <c r="H26" s="806">
        <f t="shared" si="2"/>
        <v>0</v>
      </c>
      <c r="I26" s="806">
        <f t="shared" si="2"/>
        <v>0</v>
      </c>
      <c r="J26" s="806">
        <f t="shared" si="2"/>
        <v>0</v>
      </c>
      <c r="K26" s="806">
        <f t="shared" si="2"/>
        <v>412.60607127089133</v>
      </c>
      <c r="L26" s="806">
        <f t="shared" si="2"/>
        <v>0</v>
      </c>
      <c r="M26" s="806">
        <f t="shared" si="2"/>
        <v>0</v>
      </c>
      <c r="N26" s="806">
        <f t="shared" si="2"/>
        <v>0</v>
      </c>
      <c r="O26" s="806">
        <f t="shared" si="2"/>
        <v>0</v>
      </c>
      <c r="P26" s="806">
        <f t="shared" si="2"/>
        <v>0</v>
      </c>
      <c r="Q26" s="806">
        <f t="shared" si="2"/>
        <v>0</v>
      </c>
      <c r="R26" s="806">
        <f t="shared" si="2"/>
        <v>54408.769483098346</v>
      </c>
      <c r="S26" s="67"/>
    </row>
    <row r="27" spans="1:19" s="445" customFormat="1" ht="17.25" thickTop="1" thickBot="1">
      <c r="A27" s="691" t="s">
        <v>115</v>
      </c>
      <c r="B27" s="798"/>
      <c r="C27" s="692">
        <f ca="1">C22+C16+C26</f>
        <v>105289.89214478551</v>
      </c>
      <c r="D27" s="692">
        <f t="shared" ref="D27:R27" ca="1" si="3">D22+D16+D26</f>
        <v>61777.88996138997</v>
      </c>
      <c r="E27" s="692">
        <f t="shared" ca="1" si="3"/>
        <v>134206.79713704024</v>
      </c>
      <c r="F27" s="692">
        <f t="shared" si="3"/>
        <v>1925.6015300742918</v>
      </c>
      <c r="G27" s="692">
        <f t="shared" ca="1" si="3"/>
        <v>38671.051012494332</v>
      </c>
      <c r="H27" s="692">
        <f t="shared" si="3"/>
        <v>326119.59847417142</v>
      </c>
      <c r="I27" s="692">
        <f t="shared" si="3"/>
        <v>63008.825665825534</v>
      </c>
      <c r="J27" s="692">
        <f t="shared" si="3"/>
        <v>0</v>
      </c>
      <c r="K27" s="692">
        <f t="shared" si="3"/>
        <v>540.99844076125748</v>
      </c>
      <c r="L27" s="692">
        <f t="shared" si="3"/>
        <v>0</v>
      </c>
      <c r="M27" s="692">
        <f t="shared" ca="1" si="3"/>
        <v>0</v>
      </c>
      <c r="N27" s="692">
        <f t="shared" si="3"/>
        <v>22739.172986028334</v>
      </c>
      <c r="O27" s="692">
        <f t="shared" ca="1" si="3"/>
        <v>12111.073734662021</v>
      </c>
      <c r="P27" s="692">
        <f t="shared" si="3"/>
        <v>361.08039592843977</v>
      </c>
      <c r="Q27" s="692">
        <f t="shared" si="3"/>
        <v>1010.4761441461816</v>
      </c>
      <c r="R27" s="692">
        <f t="shared" ca="1" si="3"/>
        <v>767762.45762730739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11197.254418760278</v>
      </c>
      <c r="D40" s="682">
        <f ca="1">tertiair!C20</f>
        <v>4370.7908508186529</v>
      </c>
      <c r="E40" s="682">
        <f ca="1">tertiair!D20</f>
        <v>3856.882393538659</v>
      </c>
      <c r="F40" s="682">
        <f>tertiair!E20</f>
        <v>20.058809932320035</v>
      </c>
      <c r="G40" s="682">
        <f ca="1">tertiair!F20</f>
        <v>1233.2004087778096</v>
      </c>
      <c r="H40" s="682">
        <f>tertiair!G20</f>
        <v>0</v>
      </c>
      <c r="I40" s="682">
        <f>tertiair!H20</f>
        <v>0</v>
      </c>
      <c r="J40" s="682">
        <f>tertiair!I20</f>
        <v>0</v>
      </c>
      <c r="K40" s="682">
        <f>tertiair!J20</f>
        <v>5.9844723712846395E-3</v>
      </c>
      <c r="L40" s="682">
        <f>tertiair!K20</f>
        <v>0</v>
      </c>
      <c r="M40" s="682">
        <f ca="1">tertiair!L20</f>
        <v>0</v>
      </c>
      <c r="N40" s="682">
        <f>tertiair!M20</f>
        <v>0</v>
      </c>
      <c r="O40" s="682">
        <f ca="1">tertiair!N20</f>
        <v>0</v>
      </c>
      <c r="P40" s="682">
        <f>tertiair!O20</f>
        <v>0</v>
      </c>
      <c r="Q40" s="765">
        <f>tertiair!P20</f>
        <v>0</v>
      </c>
      <c r="R40" s="844">
        <f t="shared" ca="1" si="4"/>
        <v>20678.192866300094</v>
      </c>
    </row>
    <row r="41" spans="1:18">
      <c r="A41" s="816" t="s">
        <v>220</v>
      </c>
      <c r="B41" s="823"/>
      <c r="C41" s="682">
        <f ca="1">huishoudens!B12</f>
        <v>7294.7464729591857</v>
      </c>
      <c r="D41" s="682">
        <f ca="1">huishoudens!C12</f>
        <v>0</v>
      </c>
      <c r="E41" s="682">
        <f>huishoudens!D12</f>
        <v>20331.941426662259</v>
      </c>
      <c r="F41" s="682">
        <f>huishoudens!E12</f>
        <v>252.40945947764104</v>
      </c>
      <c r="G41" s="682">
        <f>huishoudens!F12</f>
        <v>6743.4535379756726</v>
      </c>
      <c r="H41" s="682">
        <f>huishoudens!G12</f>
        <v>0</v>
      </c>
      <c r="I41" s="682">
        <f>huishoudens!H12</f>
        <v>0</v>
      </c>
      <c r="J41" s="682">
        <f>huishoudens!I12</f>
        <v>0</v>
      </c>
      <c r="K41" s="682">
        <f>huishoudens!J12</f>
        <v>44.729106913613649</v>
      </c>
      <c r="L41" s="682">
        <f>huishoudens!K12</f>
        <v>0</v>
      </c>
      <c r="M41" s="682">
        <f>huishoudens!L12</f>
        <v>0</v>
      </c>
      <c r="N41" s="682">
        <f>huishoudens!M12</f>
        <v>0</v>
      </c>
      <c r="O41" s="682">
        <f>huishoudens!N12</f>
        <v>0</v>
      </c>
      <c r="P41" s="682">
        <f>huishoudens!O12</f>
        <v>0</v>
      </c>
      <c r="Q41" s="765">
        <f>huishoudens!P12</f>
        <v>0</v>
      </c>
      <c r="R41" s="844">
        <f t="shared" ca="1" si="4"/>
        <v>34667.280003988366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2453.2147109426724</v>
      </c>
      <c r="D43" s="682">
        <f ca="1">industrie!C22</f>
        <v>0</v>
      </c>
      <c r="E43" s="682">
        <f>industrie!D22</f>
        <v>2237.6349949210025</v>
      </c>
      <c r="F43" s="682">
        <f>industrie!E22</f>
        <v>10.163464349351345</v>
      </c>
      <c r="G43" s="682">
        <f>industrie!F22</f>
        <v>986.94040237315153</v>
      </c>
      <c r="H43" s="682">
        <f>industrie!G22</f>
        <v>0</v>
      </c>
      <c r="I43" s="682">
        <f>industrie!H22</f>
        <v>0</v>
      </c>
      <c r="J43" s="682">
        <f>industrie!I22</f>
        <v>0</v>
      </c>
      <c r="K43" s="682">
        <f>industrie!J22</f>
        <v>0.71580741360469202</v>
      </c>
      <c r="L43" s="682">
        <f>industrie!K22</f>
        <v>0</v>
      </c>
      <c r="M43" s="682">
        <f>industrie!L22</f>
        <v>0</v>
      </c>
      <c r="N43" s="682">
        <f>industrie!M22</f>
        <v>0</v>
      </c>
      <c r="O43" s="682">
        <f>industrie!N22</f>
        <v>0</v>
      </c>
      <c r="P43" s="682">
        <f>industrie!O22</f>
        <v>0</v>
      </c>
      <c r="Q43" s="765">
        <f>industrie!P22</f>
        <v>0</v>
      </c>
      <c r="R43" s="843">
        <f t="shared" ca="1" si="4"/>
        <v>5688.6693799997829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20945.215602662138</v>
      </c>
      <c r="D46" s="718">
        <f t="shared" ref="D46:Q46" ca="1" si="5">SUM(D39:D45)</f>
        <v>4370.7908508186529</v>
      </c>
      <c r="E46" s="718">
        <f t="shared" ca="1" si="5"/>
        <v>26426.458815121918</v>
      </c>
      <c r="F46" s="718">
        <f t="shared" si="5"/>
        <v>282.6317337593124</v>
      </c>
      <c r="G46" s="718">
        <f t="shared" ca="1" si="5"/>
        <v>8963.5943491266335</v>
      </c>
      <c r="H46" s="718">
        <f t="shared" si="5"/>
        <v>0</v>
      </c>
      <c r="I46" s="718">
        <f t="shared" si="5"/>
        <v>0</v>
      </c>
      <c r="J46" s="718">
        <f t="shared" si="5"/>
        <v>0</v>
      </c>
      <c r="K46" s="718">
        <f t="shared" si="5"/>
        <v>45.450898799589623</v>
      </c>
      <c r="L46" s="718">
        <f t="shared" si="5"/>
        <v>0</v>
      </c>
      <c r="M46" s="718">
        <f t="shared" ca="1" si="5"/>
        <v>0</v>
      </c>
      <c r="N46" s="718">
        <f t="shared" si="5"/>
        <v>0</v>
      </c>
      <c r="O46" s="718">
        <f t="shared" ca="1" si="5"/>
        <v>0</v>
      </c>
      <c r="P46" s="718">
        <f t="shared" si="5"/>
        <v>0</v>
      </c>
      <c r="Q46" s="718">
        <f t="shared" si="5"/>
        <v>0</v>
      </c>
      <c r="R46" s="718">
        <f ca="1">SUM(R39:R45)</f>
        <v>61034.142250288241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5.1405435038820171</v>
      </c>
      <c r="D49" s="682">
        <f ca="1">transport!C58</f>
        <v>0</v>
      </c>
      <c r="E49" s="682">
        <f>transport!D58</f>
        <v>0</v>
      </c>
      <c r="F49" s="682">
        <f>transport!E58</f>
        <v>0</v>
      </c>
      <c r="G49" s="682">
        <f>transport!F58</f>
        <v>0</v>
      </c>
      <c r="H49" s="682">
        <f>transport!G58</f>
        <v>474.97692727247494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480.11747077635698</v>
      </c>
    </row>
    <row r="50" spans="1:18">
      <c r="A50" s="819" t="s">
        <v>302</v>
      </c>
      <c r="B50" s="829"/>
      <c r="C50" s="688">
        <f ca="1">transport!B18</f>
        <v>131.29259719590112</v>
      </c>
      <c r="D50" s="688">
        <f>transport!C18</f>
        <v>0</v>
      </c>
      <c r="E50" s="688">
        <f>transport!D18</f>
        <v>204.19891497379584</v>
      </c>
      <c r="F50" s="688">
        <f>transport!E18</f>
        <v>141.17367623634306</v>
      </c>
      <c r="G50" s="688">
        <f>transport!F18</f>
        <v>0</v>
      </c>
      <c r="H50" s="688">
        <f>transport!G18</f>
        <v>86598.9558653313</v>
      </c>
      <c r="I50" s="688">
        <f>transport!H18</f>
        <v>15689.197590790558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102764.8186445279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136.43314069978314</v>
      </c>
      <c r="D52" s="718">
        <f t="shared" ref="D52:Q52" ca="1" si="6">SUM(D48:D51)</f>
        <v>0</v>
      </c>
      <c r="E52" s="718">
        <f t="shared" si="6"/>
        <v>204.19891497379584</v>
      </c>
      <c r="F52" s="718">
        <f t="shared" si="6"/>
        <v>141.17367623634306</v>
      </c>
      <c r="G52" s="718">
        <f t="shared" si="6"/>
        <v>0</v>
      </c>
      <c r="H52" s="718">
        <f t="shared" si="6"/>
        <v>87073.93279260378</v>
      </c>
      <c r="I52" s="718">
        <f t="shared" si="6"/>
        <v>15689.197590790558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103244.93611530426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324.19887253691229</v>
      </c>
      <c r="D54" s="688">
        <f ca="1">+landbouw!C12</f>
        <v>10310.382426457149</v>
      </c>
      <c r="E54" s="688">
        <f>+landbouw!D12</f>
        <v>0</v>
      </c>
      <c r="F54" s="688">
        <f>+landbouw!E12</f>
        <v>13.306137331208781</v>
      </c>
      <c r="G54" s="688">
        <f>+landbouw!F12</f>
        <v>1361.5762712093531</v>
      </c>
      <c r="H54" s="688">
        <f>+landbouw!G12</f>
        <v>0</v>
      </c>
      <c r="I54" s="688">
        <f>+landbouw!H12</f>
        <v>0</v>
      </c>
      <c r="J54" s="688">
        <f>+landbouw!I12</f>
        <v>0</v>
      </c>
      <c r="K54" s="688">
        <f>+landbouw!J12</f>
        <v>146.06254922989552</v>
      </c>
      <c r="L54" s="688">
        <f>+landbouw!K12</f>
        <v>0</v>
      </c>
      <c r="M54" s="688">
        <f>+landbouw!L12</f>
        <v>0</v>
      </c>
      <c r="N54" s="688">
        <f>+landbouw!M12</f>
        <v>0</v>
      </c>
      <c r="O54" s="688">
        <f>+landbouw!N12</f>
        <v>0</v>
      </c>
      <c r="P54" s="688">
        <f>+landbouw!O12</f>
        <v>0</v>
      </c>
      <c r="Q54" s="689">
        <f>+landbouw!P12</f>
        <v>0</v>
      </c>
      <c r="R54" s="717">
        <f ca="1">SUM(C54:Q54)</f>
        <v>12155.526256764517</v>
      </c>
    </row>
    <row r="55" spans="1:18" ht="15" thickBot="1">
      <c r="A55" s="819" t="s">
        <v>703</v>
      </c>
      <c r="B55" s="829"/>
      <c r="C55" s="688">
        <f ca="1">C25*'EF ele_warmte'!B12</f>
        <v>311.16294046371712</v>
      </c>
      <c r="D55" s="688"/>
      <c r="E55" s="688">
        <f>E25*EF_CO2_aardgas</f>
        <v>479.11529158641537</v>
      </c>
      <c r="F55" s="688"/>
      <c r="G55" s="688"/>
      <c r="H55" s="688"/>
      <c r="I55" s="688"/>
      <c r="J55" s="688"/>
      <c r="K55" s="688"/>
      <c r="L55" s="688"/>
      <c r="M55" s="688"/>
      <c r="N55" s="688"/>
      <c r="O55" s="688"/>
      <c r="P55" s="688"/>
      <c r="Q55" s="689"/>
      <c r="R55" s="717">
        <f ca="1">SUM(C55:Q55)</f>
        <v>790.27823205013249</v>
      </c>
    </row>
    <row r="56" spans="1:18" ht="15.75" thickBot="1">
      <c r="A56" s="817" t="s">
        <v>704</v>
      </c>
      <c r="B56" s="830"/>
      <c r="C56" s="718">
        <f ca="1">SUM(C54:C55)</f>
        <v>635.36181300062935</v>
      </c>
      <c r="D56" s="718">
        <f t="shared" ref="D56:Q56" ca="1" si="7">SUM(D54:D55)</f>
        <v>10310.382426457149</v>
      </c>
      <c r="E56" s="718">
        <f t="shared" si="7"/>
        <v>479.11529158641537</v>
      </c>
      <c r="F56" s="718">
        <f t="shared" si="7"/>
        <v>13.306137331208781</v>
      </c>
      <c r="G56" s="718">
        <f t="shared" si="7"/>
        <v>1361.5762712093531</v>
      </c>
      <c r="H56" s="718">
        <f t="shared" si="7"/>
        <v>0</v>
      </c>
      <c r="I56" s="718">
        <f t="shared" si="7"/>
        <v>0</v>
      </c>
      <c r="J56" s="718">
        <f t="shared" si="7"/>
        <v>0</v>
      </c>
      <c r="K56" s="718">
        <f t="shared" si="7"/>
        <v>146.06254922989552</v>
      </c>
      <c r="L56" s="718">
        <f t="shared" si="7"/>
        <v>0</v>
      </c>
      <c r="M56" s="718">
        <f t="shared" si="7"/>
        <v>0</v>
      </c>
      <c r="N56" s="718">
        <f t="shared" si="7"/>
        <v>0</v>
      </c>
      <c r="O56" s="718">
        <f t="shared" si="7"/>
        <v>0</v>
      </c>
      <c r="P56" s="718">
        <f t="shared" si="7"/>
        <v>0</v>
      </c>
      <c r="Q56" s="719">
        <f t="shared" si="7"/>
        <v>0</v>
      </c>
      <c r="R56" s="720">
        <f ca="1">SUM(R54:R55)</f>
        <v>12945.804488814649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21717.010556362551</v>
      </c>
      <c r="D61" s="726">
        <f t="shared" ref="D61:Q61" ca="1" si="8">D46+D52+D56</f>
        <v>14681.173277275801</v>
      </c>
      <c r="E61" s="726">
        <f t="shared" ca="1" si="8"/>
        <v>27109.773021682129</v>
      </c>
      <c r="F61" s="726">
        <f t="shared" si="8"/>
        <v>437.11154732686424</v>
      </c>
      <c r="G61" s="726">
        <f t="shared" ca="1" si="8"/>
        <v>10325.170620335986</v>
      </c>
      <c r="H61" s="726">
        <f t="shared" si="8"/>
        <v>87073.93279260378</v>
      </c>
      <c r="I61" s="726">
        <f t="shared" si="8"/>
        <v>15689.197590790558</v>
      </c>
      <c r="J61" s="726">
        <f t="shared" si="8"/>
        <v>0</v>
      </c>
      <c r="K61" s="726">
        <f t="shared" si="8"/>
        <v>191.51344802948515</v>
      </c>
      <c r="L61" s="726">
        <f t="shared" si="8"/>
        <v>0</v>
      </c>
      <c r="M61" s="726">
        <f t="shared" ca="1" si="8"/>
        <v>0</v>
      </c>
      <c r="N61" s="726">
        <f t="shared" si="8"/>
        <v>0</v>
      </c>
      <c r="O61" s="726">
        <f t="shared" ca="1" si="8"/>
        <v>0</v>
      </c>
      <c r="P61" s="726">
        <f t="shared" si="8"/>
        <v>0</v>
      </c>
      <c r="Q61" s="726">
        <f t="shared" si="8"/>
        <v>0</v>
      </c>
      <c r="R61" s="726">
        <f ca="1">R46+R52+R56</f>
        <v>177224.88285440713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0.20625921552373902</v>
      </c>
      <c r="D63" s="772">
        <f t="shared" ca="1" si="9"/>
        <v>0.23764445963517467</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10279.80516890662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43244.5</v>
      </c>
      <c r="D76" s="947">
        <f>'lokale energieproductie'!C8</f>
        <v>50875.32591432333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10276.815834693314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10279.80516890662</v>
      </c>
      <c r="C78" s="744">
        <f>SUM(C72:C77)</f>
        <v>43244.5</v>
      </c>
      <c r="D78" s="745">
        <f t="shared" ref="D78:H78" si="10">SUM(D76:D77)</f>
        <v>50875.32591432333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10276.815834693314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61777.889961389963</v>
      </c>
      <c r="D87" s="768">
        <f>'lokale energieproductie'!C17</f>
        <v>72679.075630078223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14681.173277275802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61777.889961389963</v>
      </c>
      <c r="D90" s="744">
        <f t="shared" ref="D90:H90" si="12">SUM(D87:D89)</f>
        <v>72679.075630078223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14681.173277275802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35366.887508207416</v>
      </c>
      <c r="C4" s="449">
        <f>huishoudens!C8</f>
        <v>0</v>
      </c>
      <c r="D4" s="449">
        <f>huishoudens!D8</f>
        <v>100653.17537951612</v>
      </c>
      <c r="E4" s="449">
        <f>huishoudens!E8</f>
        <v>1111.935944835423</v>
      </c>
      <c r="F4" s="449">
        <f>huishoudens!F8</f>
        <v>25256.380292043716</v>
      </c>
      <c r="G4" s="449">
        <f>huishoudens!G8</f>
        <v>0</v>
      </c>
      <c r="H4" s="449">
        <f>huishoudens!H8</f>
        <v>0</v>
      </c>
      <c r="I4" s="449">
        <f>huishoudens!I8</f>
        <v>0</v>
      </c>
      <c r="J4" s="449">
        <f>huishoudens!J8</f>
        <v>126.35340936049055</v>
      </c>
      <c r="K4" s="449">
        <f>huishoudens!K8</f>
        <v>0</v>
      </c>
      <c r="L4" s="449">
        <f>huishoudens!L8</f>
        <v>0</v>
      </c>
      <c r="M4" s="449">
        <f>huishoudens!M8</f>
        <v>0</v>
      </c>
      <c r="N4" s="449">
        <f>huishoudens!N8</f>
        <v>11095.048048691559</v>
      </c>
      <c r="O4" s="449">
        <f>huishoudens!O8</f>
        <v>361.08039592843977</v>
      </c>
      <c r="P4" s="450">
        <f>huishoudens!P8</f>
        <v>695.2413143072115</v>
      </c>
      <c r="Q4" s="451">
        <f>SUM(B4:P4)</f>
        <v>174666.10229289034</v>
      </c>
    </row>
    <row r="5" spans="1:17">
      <c r="A5" s="448" t="s">
        <v>155</v>
      </c>
      <c r="B5" s="449">
        <f ca="1">tertiair!B16</f>
        <v>52924.33776569731</v>
      </c>
      <c r="C5" s="449">
        <f ca="1">tertiair!C16</f>
        <v>18392.142857142859</v>
      </c>
      <c r="D5" s="449">
        <f ca="1">tertiair!D16</f>
        <v>19093.477195735933</v>
      </c>
      <c r="E5" s="449">
        <f>tertiair!E16</f>
        <v>88.364801463964909</v>
      </c>
      <c r="F5" s="449">
        <f ca="1">tertiair!F16</f>
        <v>4618.7281227633312</v>
      </c>
      <c r="G5" s="449">
        <f>tertiair!G16</f>
        <v>0</v>
      </c>
      <c r="H5" s="449">
        <f>tertiair!H16</f>
        <v>0</v>
      </c>
      <c r="I5" s="449">
        <f>tertiair!I16</f>
        <v>0</v>
      </c>
      <c r="J5" s="449">
        <f>tertiair!J16</f>
        <v>1.6905289184419886E-2</v>
      </c>
      <c r="K5" s="449">
        <f>tertiair!K16</f>
        <v>0</v>
      </c>
      <c r="L5" s="449">
        <f ca="1">tertiair!L16</f>
        <v>0</v>
      </c>
      <c r="M5" s="449">
        <f>tertiair!M16</f>
        <v>0</v>
      </c>
      <c r="N5" s="449">
        <f ca="1">tertiair!N16</f>
        <v>637.94522133173336</v>
      </c>
      <c r="O5" s="449">
        <f>tertiair!O16</f>
        <v>0</v>
      </c>
      <c r="P5" s="450">
        <f>tertiair!P16</f>
        <v>315.23482983897009</v>
      </c>
      <c r="Q5" s="448">
        <f t="shared" ref="Q5:Q14" ca="1" si="0">SUM(B5:P5)</f>
        <v>96070.247699263287</v>
      </c>
    </row>
    <row r="6" spans="1:17">
      <c r="A6" s="448" t="s">
        <v>193</v>
      </c>
      <c r="B6" s="449">
        <f>'openbare verlichting'!B8</f>
        <v>1362.9549999999999</v>
      </c>
      <c r="C6" s="449"/>
      <c r="D6" s="449"/>
      <c r="E6" s="449"/>
      <c r="F6" s="449"/>
      <c r="G6" s="449"/>
      <c r="H6" s="449"/>
      <c r="I6" s="449"/>
      <c r="J6" s="449"/>
      <c r="K6" s="449"/>
      <c r="L6" s="449"/>
      <c r="M6" s="449"/>
      <c r="N6" s="449"/>
      <c r="O6" s="449"/>
      <c r="P6" s="450"/>
      <c r="Q6" s="448">
        <f t="shared" si="0"/>
        <v>1362.9549999999999</v>
      </c>
    </row>
    <row r="7" spans="1:17">
      <c r="A7" s="448" t="s">
        <v>111</v>
      </c>
      <c r="B7" s="449">
        <f>landbouw!B8</f>
        <v>1571.80309114285</v>
      </c>
      <c r="C7" s="449">
        <f>landbouw!C8</f>
        <v>43385.747104247108</v>
      </c>
      <c r="D7" s="449">
        <f>landbouw!D8</f>
        <v>0</v>
      </c>
      <c r="E7" s="449">
        <f>landbouw!E8</f>
        <v>58.617345071404316</v>
      </c>
      <c r="F7" s="449">
        <f>landbouw!F8</f>
        <v>5099.5365962897113</v>
      </c>
      <c r="G7" s="449">
        <f>landbouw!G8</f>
        <v>0</v>
      </c>
      <c r="H7" s="449">
        <f>landbouw!H8</f>
        <v>0</v>
      </c>
      <c r="I7" s="449">
        <f>landbouw!I8</f>
        <v>0</v>
      </c>
      <c r="J7" s="449">
        <f>landbouw!J8</f>
        <v>412.60607127089133</v>
      </c>
      <c r="K7" s="449">
        <f>landbouw!K8</f>
        <v>0</v>
      </c>
      <c r="L7" s="449">
        <f>landbouw!L8</f>
        <v>0</v>
      </c>
      <c r="M7" s="449">
        <f>landbouw!M8</f>
        <v>0</v>
      </c>
      <c r="N7" s="449">
        <f>landbouw!N8</f>
        <v>0</v>
      </c>
      <c r="O7" s="449">
        <f>landbouw!O8</f>
        <v>0</v>
      </c>
      <c r="P7" s="450">
        <f>landbouw!P8</f>
        <v>0</v>
      </c>
      <c r="Q7" s="448">
        <f t="shared" si="0"/>
        <v>50528.310208021969</v>
      </c>
    </row>
    <row r="8" spans="1:17">
      <c r="A8" s="448" t="s">
        <v>618</v>
      </c>
      <c r="B8" s="449">
        <f>industrie!B18</f>
        <v>11893.842923398128</v>
      </c>
      <c r="C8" s="449">
        <f>industrie!C18</f>
        <v>0</v>
      </c>
      <c r="D8" s="449">
        <f>industrie!D18</f>
        <v>11077.400964955457</v>
      </c>
      <c r="E8" s="449">
        <f>industrie!E18</f>
        <v>44.772970701988307</v>
      </c>
      <c r="F8" s="449">
        <f>industrie!F18</f>
        <v>3696.4060013975709</v>
      </c>
      <c r="G8" s="449">
        <f>industrie!G18</f>
        <v>0</v>
      </c>
      <c r="H8" s="449">
        <f>industrie!H18</f>
        <v>0</v>
      </c>
      <c r="I8" s="449">
        <f>industrie!I18</f>
        <v>0</v>
      </c>
      <c r="J8" s="449">
        <f>industrie!J18</f>
        <v>2.0220548406912204</v>
      </c>
      <c r="K8" s="449">
        <f>industrie!K18</f>
        <v>0</v>
      </c>
      <c r="L8" s="449">
        <f>industrie!L18</f>
        <v>0</v>
      </c>
      <c r="M8" s="449">
        <f>industrie!M18</f>
        <v>0</v>
      </c>
      <c r="N8" s="449">
        <f>industrie!N18</f>
        <v>378.0804646387304</v>
      </c>
      <c r="O8" s="449">
        <f>industrie!O18</f>
        <v>0</v>
      </c>
      <c r="P8" s="450">
        <f>industrie!P18</f>
        <v>0</v>
      </c>
      <c r="Q8" s="448">
        <f t="shared" si="0"/>
        <v>27092.525379932569</v>
      </c>
    </row>
    <row r="9" spans="1:17" s="454" customFormat="1">
      <c r="A9" s="452" t="s">
        <v>544</v>
      </c>
      <c r="B9" s="453">
        <f>transport!B14</f>
        <v>636.54172669337174</v>
      </c>
      <c r="C9" s="453">
        <f>transport!C14</f>
        <v>0</v>
      </c>
      <c r="D9" s="453">
        <f>transport!D14</f>
        <v>1010.8857176920585</v>
      </c>
      <c r="E9" s="453">
        <f>transport!E14</f>
        <v>621.91046800151128</v>
      </c>
      <c r="F9" s="453">
        <f>transport!F14</f>
        <v>0</v>
      </c>
      <c r="G9" s="453">
        <f>transport!G14</f>
        <v>324340.65867165278</v>
      </c>
      <c r="H9" s="453">
        <f>transport!H14</f>
        <v>63008.825665825534</v>
      </c>
      <c r="I9" s="453">
        <f>transport!I14</f>
        <v>0</v>
      </c>
      <c r="J9" s="453">
        <f>transport!J14</f>
        <v>0</v>
      </c>
      <c r="K9" s="453">
        <f>transport!K14</f>
        <v>0</v>
      </c>
      <c r="L9" s="453">
        <f>transport!L14</f>
        <v>0</v>
      </c>
      <c r="M9" s="453">
        <f>transport!M14</f>
        <v>22640.942431593856</v>
      </c>
      <c r="N9" s="453">
        <f>transport!N14</f>
        <v>0</v>
      </c>
      <c r="O9" s="453">
        <f>transport!O14</f>
        <v>0</v>
      </c>
      <c r="P9" s="453">
        <f>transport!P14</f>
        <v>0</v>
      </c>
      <c r="Q9" s="452">
        <f>SUM(B9:P9)</f>
        <v>412259.76468145906</v>
      </c>
    </row>
    <row r="10" spans="1:17">
      <c r="A10" s="448" t="s">
        <v>534</v>
      </c>
      <c r="B10" s="449">
        <f>transport!B54</f>
        <v>24.922733710729045</v>
      </c>
      <c r="C10" s="449">
        <f>transport!C54</f>
        <v>0</v>
      </c>
      <c r="D10" s="449">
        <f>transport!D54</f>
        <v>0</v>
      </c>
      <c r="E10" s="449">
        <f>transport!E54</f>
        <v>0</v>
      </c>
      <c r="F10" s="449">
        <f>transport!F54</f>
        <v>0</v>
      </c>
      <c r="G10" s="449">
        <f>transport!G54</f>
        <v>1778.9398025186326</v>
      </c>
      <c r="H10" s="449">
        <f>transport!H54</f>
        <v>0</v>
      </c>
      <c r="I10" s="449">
        <f>transport!I54</f>
        <v>0</v>
      </c>
      <c r="J10" s="449">
        <f>transport!J54</f>
        <v>0</v>
      </c>
      <c r="K10" s="449">
        <f>transport!K54</f>
        <v>0</v>
      </c>
      <c r="L10" s="449">
        <f>transport!L54</f>
        <v>0</v>
      </c>
      <c r="M10" s="449">
        <f>transport!M54</f>
        <v>98.230554434476332</v>
      </c>
      <c r="N10" s="449">
        <f>transport!N54</f>
        <v>0</v>
      </c>
      <c r="O10" s="449">
        <f>transport!O54</f>
        <v>0</v>
      </c>
      <c r="P10" s="450">
        <f>transport!P54</f>
        <v>0</v>
      </c>
      <c r="Q10" s="448">
        <f t="shared" si="0"/>
        <v>1902.093090663838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1508.6013959357101</v>
      </c>
      <c r="C14" s="456"/>
      <c r="D14" s="456">
        <f>'SEAP template'!E25</f>
        <v>2371.8578791406699</v>
      </c>
      <c r="E14" s="456"/>
      <c r="F14" s="456"/>
      <c r="G14" s="456"/>
      <c r="H14" s="456"/>
      <c r="I14" s="456"/>
      <c r="J14" s="456"/>
      <c r="K14" s="456"/>
      <c r="L14" s="456"/>
      <c r="M14" s="456"/>
      <c r="N14" s="456"/>
      <c r="O14" s="456"/>
      <c r="P14" s="457"/>
      <c r="Q14" s="448">
        <f t="shared" si="0"/>
        <v>3880.45927507638</v>
      </c>
    </row>
    <row r="15" spans="1:17" s="460" customFormat="1">
      <c r="A15" s="458" t="s">
        <v>538</v>
      </c>
      <c r="B15" s="459">
        <f ca="1">SUM(B4:B14)</f>
        <v>105289.89214478551</v>
      </c>
      <c r="C15" s="459">
        <f t="shared" ref="C15:Q15" ca="1" si="1">SUM(C4:C14)</f>
        <v>61777.88996138997</v>
      </c>
      <c r="D15" s="459">
        <f t="shared" ca="1" si="1"/>
        <v>134206.79713704024</v>
      </c>
      <c r="E15" s="459">
        <f t="shared" si="1"/>
        <v>1925.6015300742915</v>
      </c>
      <c r="F15" s="459">
        <f t="shared" ca="1" si="1"/>
        <v>38671.051012494325</v>
      </c>
      <c r="G15" s="459">
        <f t="shared" si="1"/>
        <v>326119.59847417142</v>
      </c>
      <c r="H15" s="459">
        <f t="shared" si="1"/>
        <v>63008.825665825534</v>
      </c>
      <c r="I15" s="459">
        <f t="shared" si="1"/>
        <v>0</v>
      </c>
      <c r="J15" s="459">
        <f t="shared" si="1"/>
        <v>540.99844076125748</v>
      </c>
      <c r="K15" s="459">
        <f t="shared" si="1"/>
        <v>0</v>
      </c>
      <c r="L15" s="459">
        <f t="shared" ca="1" si="1"/>
        <v>0</v>
      </c>
      <c r="M15" s="459">
        <f t="shared" si="1"/>
        <v>22739.172986028334</v>
      </c>
      <c r="N15" s="459">
        <f t="shared" ca="1" si="1"/>
        <v>12111.073734662021</v>
      </c>
      <c r="O15" s="459">
        <f t="shared" si="1"/>
        <v>361.08039592843977</v>
      </c>
      <c r="P15" s="459">
        <f t="shared" si="1"/>
        <v>1010.4761441461816</v>
      </c>
      <c r="Q15" s="459">
        <f t="shared" ca="1" si="1"/>
        <v>767762.45762730739</v>
      </c>
    </row>
    <row r="17" spans="1:17">
      <c r="A17" s="461" t="s">
        <v>539</v>
      </c>
      <c r="B17" s="777">
        <f ca="1">huishoudens!B10</f>
        <v>0.20625921552373899</v>
      </c>
      <c r="C17" s="777">
        <f ca="1">huishoudens!C10</f>
        <v>0.23764445963517469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7294.7464729591857</v>
      </c>
      <c r="C22" s="449">
        <f t="shared" ref="C22:C32" ca="1" si="3">C4*$C$17</f>
        <v>0</v>
      </c>
      <c r="D22" s="449">
        <f t="shared" ref="D22:D32" si="4">D4*$D$17</f>
        <v>20331.941426662259</v>
      </c>
      <c r="E22" s="449">
        <f t="shared" ref="E22:E32" si="5">E4*$E$17</f>
        <v>252.40945947764104</v>
      </c>
      <c r="F22" s="449">
        <f t="shared" ref="F22:F32" si="6">F4*$F$17</f>
        <v>6743.4535379756726</v>
      </c>
      <c r="G22" s="449">
        <f t="shared" ref="G22:G32" si="7">G4*$G$17</f>
        <v>0</v>
      </c>
      <c r="H22" s="449">
        <f t="shared" ref="H22:H32" si="8">H4*$H$17</f>
        <v>0</v>
      </c>
      <c r="I22" s="449">
        <f t="shared" ref="I22:I32" si="9">I4*$I$17</f>
        <v>0</v>
      </c>
      <c r="J22" s="449">
        <f t="shared" ref="J22:J32" si="10">J4*$J$17</f>
        <v>44.729106913613649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34667.280003988366</v>
      </c>
    </row>
    <row r="23" spans="1:17">
      <c r="A23" s="448" t="s">
        <v>155</v>
      </c>
      <c r="B23" s="449">
        <f t="shared" ca="1" si="2"/>
        <v>10916.13238966612</v>
      </c>
      <c r="C23" s="449">
        <f t="shared" ca="1" si="3"/>
        <v>4370.7908508186529</v>
      </c>
      <c r="D23" s="449">
        <f t="shared" ca="1" si="4"/>
        <v>3856.882393538659</v>
      </c>
      <c r="E23" s="449">
        <f t="shared" si="5"/>
        <v>20.058809932320035</v>
      </c>
      <c r="F23" s="449">
        <f t="shared" ca="1" si="6"/>
        <v>1233.2004087778096</v>
      </c>
      <c r="G23" s="449">
        <f t="shared" si="7"/>
        <v>0</v>
      </c>
      <c r="H23" s="449">
        <f t="shared" si="8"/>
        <v>0</v>
      </c>
      <c r="I23" s="449">
        <f t="shared" si="9"/>
        <v>0</v>
      </c>
      <c r="J23" s="449">
        <f t="shared" si="10"/>
        <v>5.9844723712846395E-3</v>
      </c>
      <c r="K23" s="449">
        <f t="shared" si="11"/>
        <v>0</v>
      </c>
      <c r="L23" s="449">
        <f t="shared" ca="1" si="12"/>
        <v>0</v>
      </c>
      <c r="M23" s="449">
        <f t="shared" si="13"/>
        <v>0</v>
      </c>
      <c r="N23" s="449">
        <f t="shared" ca="1" si="14"/>
        <v>0</v>
      </c>
      <c r="O23" s="449">
        <f t="shared" si="15"/>
        <v>0</v>
      </c>
      <c r="P23" s="450">
        <f t="shared" si="16"/>
        <v>0</v>
      </c>
      <c r="Q23" s="448">
        <f t="shared" ref="Q23:Q31" ca="1" si="17">SUM(B23:P23)</f>
        <v>20397.070837205938</v>
      </c>
    </row>
    <row r="24" spans="1:17">
      <c r="A24" s="448" t="s">
        <v>193</v>
      </c>
      <c r="B24" s="449">
        <f t="shared" ca="1" si="2"/>
        <v>281.12202909415765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281.12202909415765</v>
      </c>
    </row>
    <row r="25" spans="1:17">
      <c r="A25" s="448" t="s">
        <v>111</v>
      </c>
      <c r="B25" s="449">
        <f t="shared" ca="1" si="2"/>
        <v>324.19887253691229</v>
      </c>
      <c r="C25" s="449">
        <f t="shared" ca="1" si="3"/>
        <v>10310.382426457149</v>
      </c>
      <c r="D25" s="449">
        <f t="shared" si="4"/>
        <v>0</v>
      </c>
      <c r="E25" s="449">
        <f t="shared" si="5"/>
        <v>13.306137331208781</v>
      </c>
      <c r="F25" s="449">
        <f t="shared" si="6"/>
        <v>1361.5762712093531</v>
      </c>
      <c r="G25" s="449">
        <f t="shared" si="7"/>
        <v>0</v>
      </c>
      <c r="H25" s="449">
        <f t="shared" si="8"/>
        <v>0</v>
      </c>
      <c r="I25" s="449">
        <f t="shared" si="9"/>
        <v>0</v>
      </c>
      <c r="J25" s="449">
        <f t="shared" si="10"/>
        <v>146.06254922989552</v>
      </c>
      <c r="K25" s="449">
        <f t="shared" si="11"/>
        <v>0</v>
      </c>
      <c r="L25" s="449">
        <f t="shared" si="12"/>
        <v>0</v>
      </c>
      <c r="M25" s="449">
        <f t="shared" si="13"/>
        <v>0</v>
      </c>
      <c r="N25" s="449">
        <f t="shared" si="14"/>
        <v>0</v>
      </c>
      <c r="O25" s="449">
        <f t="shared" si="15"/>
        <v>0</v>
      </c>
      <c r="P25" s="450">
        <f t="shared" si="16"/>
        <v>0</v>
      </c>
      <c r="Q25" s="448">
        <f t="shared" ca="1" si="17"/>
        <v>12155.526256764517</v>
      </c>
    </row>
    <row r="26" spans="1:17">
      <c r="A26" s="448" t="s">
        <v>618</v>
      </c>
      <c r="B26" s="449">
        <f t="shared" ca="1" si="2"/>
        <v>2453.2147109426724</v>
      </c>
      <c r="C26" s="449">
        <f t="shared" ca="1" si="3"/>
        <v>0</v>
      </c>
      <c r="D26" s="449">
        <f t="shared" si="4"/>
        <v>2237.6349949210025</v>
      </c>
      <c r="E26" s="449">
        <f t="shared" si="5"/>
        <v>10.163464349351345</v>
      </c>
      <c r="F26" s="449">
        <f t="shared" si="6"/>
        <v>986.94040237315153</v>
      </c>
      <c r="G26" s="449">
        <f t="shared" si="7"/>
        <v>0</v>
      </c>
      <c r="H26" s="449">
        <f t="shared" si="8"/>
        <v>0</v>
      </c>
      <c r="I26" s="449">
        <f t="shared" si="9"/>
        <v>0</v>
      </c>
      <c r="J26" s="449">
        <f t="shared" si="10"/>
        <v>0.71580741360469202</v>
      </c>
      <c r="K26" s="449">
        <f t="shared" si="11"/>
        <v>0</v>
      </c>
      <c r="L26" s="449">
        <f t="shared" si="12"/>
        <v>0</v>
      </c>
      <c r="M26" s="449">
        <f t="shared" si="13"/>
        <v>0</v>
      </c>
      <c r="N26" s="449">
        <f t="shared" si="14"/>
        <v>0</v>
      </c>
      <c r="O26" s="449">
        <f t="shared" si="15"/>
        <v>0</v>
      </c>
      <c r="P26" s="450">
        <f t="shared" si="16"/>
        <v>0</v>
      </c>
      <c r="Q26" s="448">
        <f t="shared" ca="1" si="17"/>
        <v>5688.6693799997829</v>
      </c>
    </row>
    <row r="27" spans="1:17" s="454" customFormat="1">
      <c r="A27" s="452" t="s">
        <v>544</v>
      </c>
      <c r="B27" s="771">
        <f t="shared" ca="1" si="2"/>
        <v>131.29259719590112</v>
      </c>
      <c r="C27" s="453">
        <f t="shared" ca="1" si="3"/>
        <v>0</v>
      </c>
      <c r="D27" s="453">
        <f t="shared" si="4"/>
        <v>204.19891497379584</v>
      </c>
      <c r="E27" s="453">
        <f t="shared" si="5"/>
        <v>141.17367623634306</v>
      </c>
      <c r="F27" s="453">
        <f t="shared" si="6"/>
        <v>0</v>
      </c>
      <c r="G27" s="453">
        <f t="shared" si="7"/>
        <v>86598.9558653313</v>
      </c>
      <c r="H27" s="453">
        <f t="shared" si="8"/>
        <v>15689.197590790558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102764.8186445279</v>
      </c>
    </row>
    <row r="28" spans="1:17" ht="16.5" customHeight="1">
      <c r="A28" s="448" t="s">
        <v>534</v>
      </c>
      <c r="B28" s="449">
        <f t="shared" ca="1" si="2"/>
        <v>5.1405435038820171</v>
      </c>
      <c r="C28" s="449">
        <f t="shared" ca="1" si="3"/>
        <v>0</v>
      </c>
      <c r="D28" s="449">
        <f t="shared" si="4"/>
        <v>0</v>
      </c>
      <c r="E28" s="449">
        <f t="shared" si="5"/>
        <v>0</v>
      </c>
      <c r="F28" s="449">
        <f t="shared" si="6"/>
        <v>0</v>
      </c>
      <c r="G28" s="449">
        <f t="shared" si="7"/>
        <v>474.97692727247494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480.11747077635698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311.16294046371712</v>
      </c>
      <c r="C32" s="449">
        <f t="shared" ca="1" si="3"/>
        <v>0</v>
      </c>
      <c r="D32" s="449">
        <f t="shared" si="4"/>
        <v>479.11529158641537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790.27823205013249</v>
      </c>
    </row>
    <row r="33" spans="1:17" s="460" customFormat="1">
      <c r="A33" s="458" t="s">
        <v>538</v>
      </c>
      <c r="B33" s="459">
        <f ca="1">SUM(B22:B32)</f>
        <v>21717.010556362548</v>
      </c>
      <c r="C33" s="459">
        <f t="shared" ref="C33:Q33" ca="1" si="19">SUM(C22:C32)</f>
        <v>14681.173277275801</v>
      </c>
      <c r="D33" s="459">
        <f t="shared" ca="1" si="19"/>
        <v>27109.773021682129</v>
      </c>
      <c r="E33" s="459">
        <f t="shared" si="19"/>
        <v>437.11154732686424</v>
      </c>
      <c r="F33" s="459">
        <f t="shared" ca="1" si="19"/>
        <v>10325.170620335986</v>
      </c>
      <c r="G33" s="459">
        <f t="shared" si="19"/>
        <v>87073.93279260378</v>
      </c>
      <c r="H33" s="459">
        <f t="shared" si="19"/>
        <v>15689.197590790558</v>
      </c>
      <c r="I33" s="459">
        <f t="shared" si="19"/>
        <v>0</v>
      </c>
      <c r="J33" s="459">
        <f t="shared" si="19"/>
        <v>191.51344802948515</v>
      </c>
      <c r="K33" s="459">
        <f t="shared" si="19"/>
        <v>0</v>
      </c>
      <c r="L33" s="459">
        <f t="shared" ca="1" si="19"/>
        <v>0</v>
      </c>
      <c r="M33" s="459">
        <f t="shared" si="19"/>
        <v>0</v>
      </c>
      <c r="N33" s="459">
        <f t="shared" ca="1" si="19"/>
        <v>0</v>
      </c>
      <c r="O33" s="459">
        <f t="shared" si="19"/>
        <v>0</v>
      </c>
      <c r="P33" s="459">
        <f t="shared" si="19"/>
        <v>0</v>
      </c>
      <c r="Q33" s="459">
        <f t="shared" ca="1" si="19"/>
        <v>177224.88285440716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10279.80516890662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43244.5</v>
      </c>
      <c r="D8" s="1015">
        <f>'SEAP template'!D76</f>
        <v>50875.32591432333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10276.815834693314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10279.80516890662</v>
      </c>
      <c r="C10" s="1017">
        <f>SUM(C4:C9)</f>
        <v>43244.5</v>
      </c>
      <c r="D10" s="1017">
        <f t="shared" ref="D10:H10" si="0">SUM(D8:D9)</f>
        <v>50875.32591432333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10276.815834693314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0.20625921552373899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61777.889961389963</v>
      </c>
      <c r="D17" s="1016">
        <f>'SEAP template'!D87</f>
        <v>72679.075630078223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14681.173277275802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61777.889961389963</v>
      </c>
      <c r="D20" s="1017">
        <f t="shared" ref="D20:H20" si="2">SUM(D17:D19)</f>
        <v>72679.075630078223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14681.173277275802</v>
      </c>
    </row>
    <row r="21" spans="1:16">
      <c r="B21" s="882"/>
    </row>
    <row r="22" spans="1:16">
      <c r="A22" s="461" t="s">
        <v>762</v>
      </c>
      <c r="B22" s="777" t="s">
        <v>760</v>
      </c>
      <c r="C22" s="777">
        <f ca="1">'EF ele_warmte'!B22</f>
        <v>0.23764445963517469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0.20625921552373899</v>
      </c>
      <c r="C17" s="497">
        <f ca="1">'EF ele_warmte'!B22</f>
        <v>0.23764445963517469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0.20625921552373899</v>
      </c>
      <c r="C17" s="497">
        <f ca="1">'EF ele_warmte'!B22</f>
        <v>0.23764445963517469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0.20625921552373899</v>
      </c>
      <c r="C29" s="498">
        <f ca="1">'EF ele_warmte'!B22</f>
        <v>0.23764445963517469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8687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908.08</v>
      </c>
      <c r="C14" s="326"/>
      <c r="D14" s="326"/>
      <c r="E14" s="326"/>
      <c r="F14" s="326"/>
    </row>
    <row r="15" spans="1:6">
      <c r="A15" s="1307" t="s">
        <v>183</v>
      </c>
      <c r="B15" s="1308">
        <v>306</v>
      </c>
      <c r="C15" s="326"/>
      <c r="D15" s="326"/>
      <c r="E15" s="326"/>
      <c r="F15" s="326"/>
    </row>
    <row r="16" spans="1:6">
      <c r="A16" s="1307" t="s">
        <v>6</v>
      </c>
      <c r="B16" s="1308">
        <v>894</v>
      </c>
      <c r="C16" s="326"/>
      <c r="D16" s="326"/>
      <c r="E16" s="326"/>
      <c r="F16" s="326"/>
    </row>
    <row r="17" spans="1:6">
      <c r="A17" s="1307" t="s">
        <v>7</v>
      </c>
      <c r="B17" s="1308">
        <v>88</v>
      </c>
      <c r="C17" s="326"/>
      <c r="D17" s="326"/>
      <c r="E17" s="326"/>
      <c r="F17" s="326"/>
    </row>
    <row r="18" spans="1:6">
      <c r="A18" s="1307" t="s">
        <v>8</v>
      </c>
      <c r="B18" s="1308">
        <v>505</v>
      </c>
      <c r="C18" s="326"/>
      <c r="D18" s="326"/>
      <c r="E18" s="326"/>
      <c r="F18" s="326"/>
    </row>
    <row r="19" spans="1:6">
      <c r="A19" s="1307" t="s">
        <v>9</v>
      </c>
      <c r="B19" s="1308">
        <v>440</v>
      </c>
      <c r="C19" s="326"/>
      <c r="D19" s="326"/>
      <c r="E19" s="326"/>
      <c r="F19" s="326"/>
    </row>
    <row r="20" spans="1:6">
      <c r="A20" s="1307" t="s">
        <v>10</v>
      </c>
      <c r="B20" s="1308">
        <v>492</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1</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4</v>
      </c>
      <c r="C27" s="326"/>
      <c r="D27" s="326"/>
      <c r="E27" s="326"/>
      <c r="F27" s="326"/>
    </row>
    <row r="28" spans="1:6" s="43" customFormat="1">
      <c r="A28" s="1309" t="s">
        <v>18</v>
      </c>
      <c r="B28" s="1310">
        <v>10</v>
      </c>
      <c r="C28" s="332"/>
      <c r="D28" s="332"/>
      <c r="E28" s="332"/>
      <c r="F28" s="332"/>
    </row>
    <row r="29" spans="1:6">
      <c r="A29" s="1309" t="s">
        <v>688</v>
      </c>
      <c r="B29" s="1310">
        <v>117</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7</v>
      </c>
      <c r="D36" s="1308">
        <v>24782241.847770099</v>
      </c>
      <c r="E36" s="1308">
        <v>4</v>
      </c>
      <c r="F36" s="1308">
        <v>723056.98637578904</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7190</v>
      </c>
      <c r="D39" s="1308">
        <v>111465310.497803</v>
      </c>
      <c r="E39" s="1308">
        <v>8568</v>
      </c>
      <c r="F39" s="1308">
        <v>30670438.052143399</v>
      </c>
    </row>
    <row r="40" spans="1:6">
      <c r="A40" s="1307" t="s">
        <v>29</v>
      </c>
      <c r="B40" s="1307" t="s">
        <v>28</v>
      </c>
      <c r="C40" s="1308">
        <v>0</v>
      </c>
      <c r="D40" s="1308">
        <v>0</v>
      </c>
      <c r="E40" s="1308">
        <v>1</v>
      </c>
      <c r="F40" s="1308">
        <v>0</v>
      </c>
    </row>
    <row r="41" spans="1:6">
      <c r="A41" s="1307" t="s">
        <v>31</v>
      </c>
      <c r="B41" s="1307" t="s">
        <v>32</v>
      </c>
      <c r="C41" s="1308">
        <v>106</v>
      </c>
      <c r="D41" s="1308">
        <v>5683572.27228045</v>
      </c>
      <c r="E41" s="1308">
        <v>246</v>
      </c>
      <c r="F41" s="1308">
        <v>5700418.7702570902</v>
      </c>
    </row>
    <row r="42" spans="1:6">
      <c r="A42" s="1307" t="s">
        <v>31</v>
      </c>
      <c r="B42" s="1307" t="s">
        <v>33</v>
      </c>
      <c r="C42" s="1308">
        <v>4</v>
      </c>
      <c r="D42" s="1308">
        <v>273612.93293328403</v>
      </c>
      <c r="E42" s="1308">
        <v>7</v>
      </c>
      <c r="F42" s="1308">
        <v>166638.857887655</v>
      </c>
    </row>
    <row r="43" spans="1:6">
      <c r="A43" s="1307" t="s">
        <v>31</v>
      </c>
      <c r="B43" s="1307" t="s">
        <v>34</v>
      </c>
      <c r="C43" s="1308">
        <v>0</v>
      </c>
      <c r="D43" s="1308">
        <v>0</v>
      </c>
      <c r="E43" s="1308">
        <v>0</v>
      </c>
      <c r="F43" s="1308">
        <v>0</v>
      </c>
    </row>
    <row r="44" spans="1:6">
      <c r="A44" s="1307" t="s">
        <v>31</v>
      </c>
      <c r="B44" s="1307" t="s">
        <v>35</v>
      </c>
      <c r="C44" s="1308">
        <v>17</v>
      </c>
      <c r="D44" s="1308">
        <v>2717694.1391612999</v>
      </c>
      <c r="E44" s="1308">
        <v>38</v>
      </c>
      <c r="F44" s="1308">
        <v>2195770.9492623098</v>
      </c>
    </row>
    <row r="45" spans="1:6">
      <c r="A45" s="1307" t="s">
        <v>31</v>
      </c>
      <c r="B45" s="1307" t="s">
        <v>36</v>
      </c>
      <c r="C45" s="1308">
        <v>5</v>
      </c>
      <c r="D45" s="1308">
        <v>137023.48726040099</v>
      </c>
      <c r="E45" s="1308">
        <v>5</v>
      </c>
      <c r="F45" s="1308">
        <v>59969.390447232297</v>
      </c>
    </row>
    <row r="46" spans="1:6">
      <c r="A46" s="1307" t="s">
        <v>31</v>
      </c>
      <c r="B46" s="1307" t="s">
        <v>37</v>
      </c>
      <c r="C46" s="1308">
        <v>0</v>
      </c>
      <c r="D46" s="1308">
        <v>0</v>
      </c>
      <c r="E46" s="1308">
        <v>0</v>
      </c>
      <c r="F46" s="1308">
        <v>0</v>
      </c>
    </row>
    <row r="47" spans="1:6">
      <c r="A47" s="1307" t="s">
        <v>31</v>
      </c>
      <c r="B47" s="1307" t="s">
        <v>38</v>
      </c>
      <c r="C47" s="1308">
        <v>6</v>
      </c>
      <c r="D47" s="1308">
        <v>341472.928330297</v>
      </c>
      <c r="E47" s="1308">
        <v>7</v>
      </c>
      <c r="F47" s="1308">
        <v>603276.11184251704</v>
      </c>
    </row>
    <row r="48" spans="1:6">
      <c r="A48" s="1307" t="s">
        <v>31</v>
      </c>
      <c r="B48" s="1307" t="s">
        <v>28</v>
      </c>
      <c r="C48" s="1308">
        <v>1</v>
      </c>
      <c r="D48" s="1308">
        <v>63512.808750762</v>
      </c>
      <c r="E48" s="1308">
        <v>1</v>
      </c>
      <c r="F48" s="1308">
        <v>28749.326872482601</v>
      </c>
    </row>
    <row r="49" spans="1:6">
      <c r="A49" s="1307" t="s">
        <v>31</v>
      </c>
      <c r="B49" s="1307" t="s">
        <v>39</v>
      </c>
      <c r="C49" s="1308">
        <v>0</v>
      </c>
      <c r="D49" s="1308">
        <v>0</v>
      </c>
      <c r="E49" s="1308">
        <v>0</v>
      </c>
      <c r="F49" s="1308">
        <v>0</v>
      </c>
    </row>
    <row r="50" spans="1:6">
      <c r="A50" s="1307" t="s">
        <v>31</v>
      </c>
      <c r="B50" s="1307" t="s">
        <v>40</v>
      </c>
      <c r="C50" s="1308">
        <v>12</v>
      </c>
      <c r="D50" s="1308">
        <v>3050443.6183881098</v>
      </c>
      <c r="E50" s="1308">
        <v>12</v>
      </c>
      <c r="F50" s="1308">
        <v>3139019.5168288401</v>
      </c>
    </row>
    <row r="51" spans="1:6">
      <c r="A51" s="1307" t="s">
        <v>41</v>
      </c>
      <c r="B51" s="1307" t="s">
        <v>42</v>
      </c>
      <c r="C51" s="1308">
        <v>8</v>
      </c>
      <c r="D51" s="1308">
        <v>79468750.987662598</v>
      </c>
      <c r="E51" s="1308">
        <v>50</v>
      </c>
      <c r="F51" s="1308">
        <v>1571803.09114285</v>
      </c>
    </row>
    <row r="52" spans="1:6">
      <c r="A52" s="1307" t="s">
        <v>41</v>
      </c>
      <c r="B52" s="1307" t="s">
        <v>28</v>
      </c>
      <c r="C52" s="1308">
        <v>0</v>
      </c>
      <c r="D52" s="1308">
        <v>0</v>
      </c>
      <c r="E52" s="1308">
        <v>0</v>
      </c>
      <c r="F52" s="1308">
        <v>0</v>
      </c>
    </row>
    <row r="53" spans="1:6">
      <c r="A53" s="1307" t="s">
        <v>43</v>
      </c>
      <c r="B53" s="1307" t="s">
        <v>44</v>
      </c>
      <c r="C53" s="1308">
        <v>143</v>
      </c>
      <c r="D53" s="1308">
        <v>2371857.8791406699</v>
      </c>
      <c r="E53" s="1308">
        <v>359</v>
      </c>
      <c r="F53" s="1308">
        <v>1508601.3959357101</v>
      </c>
    </row>
    <row r="54" spans="1:6">
      <c r="A54" s="1307" t="s">
        <v>45</v>
      </c>
      <c r="B54" s="1307" t="s">
        <v>46</v>
      </c>
      <c r="C54" s="1308">
        <v>0</v>
      </c>
      <c r="D54" s="1308">
        <v>0</v>
      </c>
      <c r="E54" s="1308">
        <v>1</v>
      </c>
      <c r="F54" s="1308">
        <v>1362955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61</v>
      </c>
      <c r="D57" s="1308">
        <v>3551940.5254967199</v>
      </c>
      <c r="E57" s="1308">
        <v>106</v>
      </c>
      <c r="F57" s="1308">
        <v>1711785.8568778799</v>
      </c>
    </row>
    <row r="58" spans="1:6">
      <c r="A58" s="1307" t="s">
        <v>48</v>
      </c>
      <c r="B58" s="1307" t="s">
        <v>50</v>
      </c>
      <c r="C58" s="1308">
        <v>59</v>
      </c>
      <c r="D58" s="1308">
        <v>3458609.6195204901</v>
      </c>
      <c r="E58" s="1308">
        <v>71</v>
      </c>
      <c r="F58" s="1308">
        <v>1202217.3505682501</v>
      </c>
    </row>
    <row r="59" spans="1:6">
      <c r="A59" s="1307" t="s">
        <v>48</v>
      </c>
      <c r="B59" s="1307" t="s">
        <v>51</v>
      </c>
      <c r="C59" s="1308">
        <v>241</v>
      </c>
      <c r="D59" s="1308">
        <v>20828750.438770499</v>
      </c>
      <c r="E59" s="1308">
        <v>379</v>
      </c>
      <c r="F59" s="1308">
        <v>17048803.599401999</v>
      </c>
    </row>
    <row r="60" spans="1:6">
      <c r="A60" s="1307" t="s">
        <v>48</v>
      </c>
      <c r="B60" s="1307" t="s">
        <v>52</v>
      </c>
      <c r="C60" s="1308">
        <v>66</v>
      </c>
      <c r="D60" s="1308">
        <v>3046224.7101045898</v>
      </c>
      <c r="E60" s="1308">
        <v>84</v>
      </c>
      <c r="F60" s="1308">
        <v>2684565.0662881099</v>
      </c>
    </row>
    <row r="61" spans="1:6">
      <c r="A61" s="1307" t="s">
        <v>48</v>
      </c>
      <c r="B61" s="1307" t="s">
        <v>53</v>
      </c>
      <c r="C61" s="1308">
        <v>340</v>
      </c>
      <c r="D61" s="1308">
        <v>27580615.0225484</v>
      </c>
      <c r="E61" s="1308">
        <v>650</v>
      </c>
      <c r="F61" s="1308">
        <v>16408234.722158</v>
      </c>
    </row>
    <row r="62" spans="1:6">
      <c r="A62" s="1307" t="s">
        <v>48</v>
      </c>
      <c r="B62" s="1307" t="s">
        <v>54</v>
      </c>
      <c r="C62" s="1308">
        <v>20</v>
      </c>
      <c r="D62" s="1308">
        <v>3224371.7075400902</v>
      </c>
      <c r="E62" s="1308">
        <v>16</v>
      </c>
      <c r="F62" s="1308">
        <v>994231.17040306504</v>
      </c>
    </row>
    <row r="63" spans="1:6">
      <c r="A63" s="1307" t="s">
        <v>48</v>
      </c>
      <c r="B63" s="1307" t="s">
        <v>28</v>
      </c>
      <c r="C63" s="1308">
        <v>1</v>
      </c>
      <c r="D63" s="1308">
        <v>189624.08900000001</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3904.2382920156001</v>
      </c>
      <c r="E65" s="1308">
        <v>0</v>
      </c>
      <c r="F65" s="1308">
        <v>0</v>
      </c>
    </row>
    <row r="66" spans="1:6">
      <c r="A66" s="1307" t="s">
        <v>55</v>
      </c>
      <c r="B66" s="1307" t="s">
        <v>57</v>
      </c>
      <c r="C66" s="1308">
        <v>0</v>
      </c>
      <c r="D66" s="1308">
        <v>0</v>
      </c>
      <c r="E66" s="1308">
        <v>17</v>
      </c>
      <c r="F66" s="1308">
        <v>551927.12152476294</v>
      </c>
    </row>
    <row r="67" spans="1:6">
      <c r="A67" s="1309" t="s">
        <v>55</v>
      </c>
      <c r="B67" s="1309" t="s">
        <v>58</v>
      </c>
      <c r="C67" s="1308">
        <v>0</v>
      </c>
      <c r="D67" s="1308">
        <v>0</v>
      </c>
      <c r="E67" s="1308">
        <v>0</v>
      </c>
      <c r="F67" s="1308">
        <v>0</v>
      </c>
    </row>
    <row r="68" spans="1:6">
      <c r="A68" s="1302" t="s">
        <v>55</v>
      </c>
      <c r="B68" s="1302" t="s">
        <v>59</v>
      </c>
      <c r="C68" s="1311">
        <v>4</v>
      </c>
      <c r="D68" s="1311">
        <v>73270.933780949999</v>
      </c>
      <c r="E68" s="1311">
        <v>11</v>
      </c>
      <c r="F68" s="1311">
        <v>193482.08164895701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144745311</v>
      </c>
      <c r="E73" s="447"/>
      <c r="F73" s="326"/>
    </row>
    <row r="74" spans="1:6">
      <c r="A74" s="1307" t="s">
        <v>63</v>
      </c>
      <c r="B74" s="1307" t="s">
        <v>639</v>
      </c>
      <c r="C74" s="1321" t="s">
        <v>641</v>
      </c>
      <c r="D74" s="1322">
        <v>27348818.004911035</v>
      </c>
      <c r="E74" s="447"/>
      <c r="F74" s="326"/>
    </row>
    <row r="75" spans="1:6">
      <c r="A75" s="1307" t="s">
        <v>64</v>
      </c>
      <c r="B75" s="1307" t="s">
        <v>638</v>
      </c>
      <c r="C75" s="1321" t="s">
        <v>642</v>
      </c>
      <c r="D75" s="1322">
        <v>34139018</v>
      </c>
      <c r="E75" s="447"/>
      <c r="F75" s="326"/>
    </row>
    <row r="76" spans="1:6">
      <c r="A76" s="1307" t="s">
        <v>64</v>
      </c>
      <c r="B76" s="1307" t="s">
        <v>639</v>
      </c>
      <c r="C76" s="1321" t="s">
        <v>643</v>
      </c>
      <c r="D76" s="1322">
        <v>4367410.0049110362</v>
      </c>
      <c r="E76" s="447"/>
      <c r="F76" s="326"/>
    </row>
    <row r="77" spans="1:6">
      <c r="A77" s="1307" t="s">
        <v>65</v>
      </c>
      <c r="B77" s="1307" t="s">
        <v>638</v>
      </c>
      <c r="C77" s="1321" t="s">
        <v>644</v>
      </c>
      <c r="D77" s="1322">
        <v>215603248</v>
      </c>
      <c r="E77" s="447"/>
      <c r="F77" s="326"/>
    </row>
    <row r="78" spans="1:6">
      <c r="A78" s="1302" t="s">
        <v>65</v>
      </c>
      <c r="B78" s="1302" t="s">
        <v>639</v>
      </c>
      <c r="C78" s="1302" t="s">
        <v>645</v>
      </c>
      <c r="D78" s="1323">
        <v>24319081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526789.990177928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4696.4494560640132</v>
      </c>
      <c r="C91" s="326"/>
      <c r="D91" s="326"/>
      <c r="E91" s="326"/>
      <c r="F91" s="326"/>
    </row>
    <row r="92" spans="1:6">
      <c r="A92" s="1302" t="s">
        <v>68</v>
      </c>
      <c r="B92" s="1303">
        <v>5583.3557128426055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5036</v>
      </c>
      <c r="C97" s="326"/>
      <c r="D97" s="326"/>
      <c r="E97" s="326"/>
      <c r="F97" s="326"/>
    </row>
    <row r="98" spans="1:6">
      <c r="A98" s="1307" t="s">
        <v>71</v>
      </c>
      <c r="B98" s="1308">
        <v>8</v>
      </c>
      <c r="C98" s="326"/>
      <c r="D98" s="326"/>
      <c r="E98" s="326"/>
      <c r="F98" s="326"/>
    </row>
    <row r="99" spans="1:6">
      <c r="A99" s="1307" t="s">
        <v>72</v>
      </c>
      <c r="B99" s="1308">
        <v>24</v>
      </c>
      <c r="C99" s="326"/>
      <c r="D99" s="326"/>
      <c r="E99" s="326"/>
      <c r="F99" s="326"/>
    </row>
    <row r="100" spans="1:6">
      <c r="A100" s="1307" t="s">
        <v>73</v>
      </c>
      <c r="B100" s="1308">
        <v>636</v>
      </c>
      <c r="C100" s="326"/>
      <c r="D100" s="326"/>
      <c r="E100" s="326"/>
      <c r="F100" s="326"/>
    </row>
    <row r="101" spans="1:6">
      <c r="A101" s="1307" t="s">
        <v>74</v>
      </c>
      <c r="B101" s="1308">
        <v>60</v>
      </c>
      <c r="C101" s="326"/>
      <c r="D101" s="326"/>
      <c r="E101" s="326"/>
      <c r="F101" s="326"/>
    </row>
    <row r="102" spans="1:6">
      <c r="A102" s="1307" t="s">
        <v>75</v>
      </c>
      <c r="B102" s="1308">
        <v>89</v>
      </c>
      <c r="C102" s="326"/>
      <c r="D102" s="326"/>
      <c r="E102" s="326"/>
      <c r="F102" s="326"/>
    </row>
    <row r="103" spans="1:6">
      <c r="A103" s="1307" t="s">
        <v>76</v>
      </c>
      <c r="B103" s="1308">
        <v>100</v>
      </c>
      <c r="C103" s="326"/>
      <c r="D103" s="326"/>
      <c r="E103" s="326"/>
      <c r="F103" s="326"/>
    </row>
    <row r="104" spans="1:6">
      <c r="A104" s="1307" t="s">
        <v>77</v>
      </c>
      <c r="B104" s="1308">
        <v>1453</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43</v>
      </c>
      <c r="C123" s="1308">
        <v>25</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155</v>
      </c>
      <c r="C129" s="326"/>
      <c r="D129" s="326"/>
      <c r="E129" s="326"/>
      <c r="F129" s="326"/>
    </row>
    <row r="130" spans="1:6">
      <c r="A130" s="1307" t="s">
        <v>290</v>
      </c>
      <c r="B130" s="1308">
        <v>0</v>
      </c>
      <c r="C130" s="326"/>
      <c r="D130" s="326"/>
      <c r="E130" s="326"/>
      <c r="F130" s="326"/>
    </row>
    <row r="131" spans="1:6">
      <c r="A131" s="1307" t="s">
        <v>291</v>
      </c>
      <c r="B131" s="1308">
        <v>5</v>
      </c>
      <c r="C131" s="326"/>
      <c r="D131" s="326"/>
      <c r="E131" s="326"/>
      <c r="F131" s="326"/>
    </row>
    <row r="132" spans="1:6">
      <c r="A132" s="1302" t="s">
        <v>292</v>
      </c>
      <c r="B132" s="1303">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105289.89214478551</v>
      </c>
      <c r="C3" s="43" t="s">
        <v>169</v>
      </c>
      <c r="D3" s="43"/>
      <c r="E3" s="154"/>
      <c r="F3" s="43"/>
      <c r="G3" s="43"/>
      <c r="H3" s="43"/>
      <c r="I3" s="43"/>
      <c r="J3" s="43"/>
      <c r="K3" s="96"/>
    </row>
    <row r="4" spans="1:11">
      <c r="A4" s="354" t="s">
        <v>170</v>
      </c>
      <c r="B4" s="49">
        <f>IF(ISERROR('SEAP template'!B78+'SEAP template'!C78),0,'SEAP template'!B78+'SEAP template'!C78)</f>
        <v>53524.30516890662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10276.815834693314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0.20625921552373899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14681.173277275802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61777.88996138997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0.23764445963517469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1362.9549999999999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1362.9549999999999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0.20625921552373899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281.12202909415765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30670.4380521434</v>
      </c>
      <c r="C5" s="17">
        <f>IF(ISERROR('Eigen informatie GS &amp; warmtenet'!B59),0,'Eigen informatie GS &amp; warmtenet'!B59)</f>
        <v>0</v>
      </c>
      <c r="D5" s="30">
        <f>(SUM(HH_hh_gas_kWh,HH_rest_gas_kWh)/1000)*0.903</f>
        <v>100653.17537951612</v>
      </c>
      <c r="E5" s="17">
        <f>B32*B41</f>
        <v>1111.935944835423</v>
      </c>
      <c r="F5" s="17">
        <f>B36*B45</f>
        <v>25256.380292043716</v>
      </c>
      <c r="G5" s="18"/>
      <c r="H5" s="17"/>
      <c r="I5" s="17"/>
      <c r="J5" s="17">
        <f>B35*B44+C35*C44</f>
        <v>126.35340936049055</v>
      </c>
      <c r="K5" s="17"/>
      <c r="L5" s="17"/>
      <c r="M5" s="17"/>
      <c r="N5" s="17">
        <f>B34*B43+C34*C43</f>
        <v>11095.048048691559</v>
      </c>
      <c r="O5" s="17">
        <f>B52*B53*B54</f>
        <v>361.08039592843977</v>
      </c>
      <c r="P5" s="17">
        <f>B60*B61*B62/1000-B60*B61*B62/1000/B63</f>
        <v>695.2413143072115</v>
      </c>
    </row>
    <row r="6" spans="1:16">
      <c r="A6" s="16" t="s">
        <v>604</v>
      </c>
      <c r="B6" s="779">
        <f>kWh_PV_kleiner_dan_10kW</f>
        <v>4696.4494560640132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35366.887508207416</v>
      </c>
      <c r="C8" s="21">
        <f>C5</f>
        <v>0</v>
      </c>
      <c r="D8" s="21">
        <f>D5</f>
        <v>100653.17537951612</v>
      </c>
      <c r="E8" s="21">
        <f>E5</f>
        <v>1111.935944835423</v>
      </c>
      <c r="F8" s="21">
        <f>F5</f>
        <v>25256.380292043716</v>
      </c>
      <c r="G8" s="21"/>
      <c r="H8" s="21"/>
      <c r="I8" s="21"/>
      <c r="J8" s="21">
        <f>J5</f>
        <v>126.35340936049055</v>
      </c>
      <c r="K8" s="21"/>
      <c r="L8" s="21">
        <f>L5</f>
        <v>0</v>
      </c>
      <c r="M8" s="21">
        <f>M5</f>
        <v>0</v>
      </c>
      <c r="N8" s="21">
        <f>N5</f>
        <v>11095.048048691559</v>
      </c>
      <c r="O8" s="21">
        <f>O5</f>
        <v>361.08039592843977</v>
      </c>
      <c r="P8" s="21">
        <f>P5</f>
        <v>695.2413143072115</v>
      </c>
    </row>
    <row r="9" spans="1:16">
      <c r="B9" s="19"/>
      <c r="C9" s="19"/>
      <c r="D9" s="254"/>
      <c r="E9" s="19"/>
      <c r="F9" s="19"/>
      <c r="G9" s="19"/>
      <c r="H9" s="19"/>
      <c r="I9" s="19"/>
      <c r="J9" s="19"/>
      <c r="K9" s="19"/>
      <c r="L9" s="19"/>
      <c r="M9" s="19"/>
      <c r="N9" s="19"/>
      <c r="O9" s="19"/>
      <c r="P9" s="19"/>
    </row>
    <row r="10" spans="1:16">
      <c r="A10" s="24" t="s">
        <v>213</v>
      </c>
      <c r="B10" s="25">
        <f ca="1">'EF ele_warmte'!B12</f>
        <v>0.20625921552373899</v>
      </c>
      <c r="C10" s="25">
        <f ca="1">'EF ele_warmte'!B22</f>
        <v>0.23764445963517469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7294.7464729591857</v>
      </c>
      <c r="C12" s="23">
        <f ca="1">C10*C8</f>
        <v>0</v>
      </c>
      <c r="D12" s="23">
        <f>D8*D10</f>
        <v>20331.941426662259</v>
      </c>
      <c r="E12" s="23">
        <f>E10*E8</f>
        <v>252.40945947764104</v>
      </c>
      <c r="F12" s="23">
        <f>F10*F8</f>
        <v>6743.4535379756726</v>
      </c>
      <c r="G12" s="23"/>
      <c r="H12" s="23"/>
      <c r="I12" s="23"/>
      <c r="J12" s="23">
        <f>J10*J8</f>
        <v>44.729106913613649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8687</v>
      </c>
      <c r="C26" s="36"/>
      <c r="D26" s="225"/>
    </row>
    <row r="27" spans="1:5" s="15" customFormat="1">
      <c r="A27" s="227" t="s">
        <v>817</v>
      </c>
      <c r="B27" s="37">
        <f>SUM(HH_hh_gas_aantal,HH_rest_gas_aantal)</f>
        <v>7190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6830.5</v>
      </c>
      <c r="C31" s="34" t="s">
        <v>110</v>
      </c>
      <c r="D31" s="171"/>
    </row>
    <row r="32" spans="1:5">
      <c r="A32" s="168" t="s">
        <v>72</v>
      </c>
      <c r="B32" s="33">
        <f>IF((B21*($B$26-($B$27-0.05*$B$27)-$B$60))&lt;0,0,B21*($B$26-($B$27-0.05*$B$27)-$B$60))</f>
        <v>27.558228318974098</v>
      </c>
      <c r="C32" s="34" t="s">
        <v>110</v>
      </c>
      <c r="D32" s="171"/>
    </row>
    <row r="33" spans="1:6">
      <c r="A33" s="168" t="s">
        <v>73</v>
      </c>
      <c r="B33" s="33">
        <f>IF((B22*($B$26-($B$27-0.05*$B$27)-$B$60))&lt;0,0,B22*($B$26-($B$27-0.05*$B$27)-$B$60))</f>
        <v>447.49104822989335</v>
      </c>
      <c r="C33" s="34" t="s">
        <v>110</v>
      </c>
      <c r="D33" s="171"/>
    </row>
    <row r="34" spans="1:6">
      <c r="A34" s="168" t="s">
        <v>74</v>
      </c>
      <c r="B34" s="33">
        <f>IF((B24*($B$26-($B$27-0.05*$B$27)-$B$60))&lt;0,0,B24*($B$26-($B$27-0.05*$B$27)-$B$60))</f>
        <v>85.716089890353274</v>
      </c>
      <c r="C34" s="33">
        <f>B26*C24</f>
        <v>1778.8708704442729</v>
      </c>
      <c r="D34" s="230"/>
    </row>
    <row r="35" spans="1:6">
      <c r="A35" s="168" t="s">
        <v>76</v>
      </c>
      <c r="B35" s="33">
        <f>IF((B19*($B$26-($B$27-0.05*$B$27)-$B$60))&lt;0,0,B19*($B$26-($B$27-0.05*$B$27)-$B$60))</f>
        <v>11.979496149643413</v>
      </c>
      <c r="C35" s="33">
        <f>B35/2</f>
        <v>5.9897480748217067</v>
      </c>
      <c r="D35" s="230"/>
    </row>
    <row r="36" spans="1:6">
      <c r="A36" s="168" t="s">
        <v>77</v>
      </c>
      <c r="B36" s="33">
        <f>IF((B18*($B$26-($B$27-0.05*$B$27)-$B$60))&lt;0,0,B18*($B$26-($B$27-0.05*$B$27)-$B$60))</f>
        <v>1217.7551374111354</v>
      </c>
      <c r="C36" s="34" t="s">
        <v>110</v>
      </c>
      <c r="D36" s="171"/>
    </row>
    <row r="37" spans="1:6">
      <c r="A37" s="168" t="s">
        <v>78</v>
      </c>
      <c r="B37" s="33">
        <f>B60</f>
        <v>66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40049.83776569731</v>
      </c>
      <c r="C5" s="17">
        <f>IF(ISERROR('Eigen informatie GS &amp; warmtenet'!B60),0,'Eigen informatie GS &amp; warmtenet'!B60)</f>
        <v>0</v>
      </c>
      <c r="D5" s="30">
        <f>SUM(D6:D12)</f>
        <v>55877.762910021658</v>
      </c>
      <c r="E5" s="17">
        <f>SUM(E6:E12)</f>
        <v>88.364801463964909</v>
      </c>
      <c r="F5" s="17">
        <f>SUM(F6:F12)</f>
        <v>4618.7281227633312</v>
      </c>
      <c r="G5" s="18"/>
      <c r="H5" s="17"/>
      <c r="I5" s="17"/>
      <c r="J5" s="17">
        <f>SUM(J6:J12)</f>
        <v>1.6905289184419886E-2</v>
      </c>
      <c r="K5" s="17"/>
      <c r="L5" s="17"/>
      <c r="M5" s="17"/>
      <c r="N5" s="17">
        <f>SUM(N6:N12)</f>
        <v>637.94522133173336</v>
      </c>
      <c r="O5" s="17">
        <f>B38*B39*B40</f>
        <v>0</v>
      </c>
      <c r="P5" s="17">
        <f>B46*B47*B48/1000-B46*B47*B48/1000/B49</f>
        <v>315.23482983897009</v>
      </c>
      <c r="R5" s="32"/>
    </row>
    <row r="6" spans="1:18">
      <c r="A6" s="32" t="s">
        <v>53</v>
      </c>
      <c r="B6" s="37">
        <f>B26</f>
        <v>16408.234722157998</v>
      </c>
      <c r="C6" s="33"/>
      <c r="D6" s="37">
        <f>IF(ISERROR(TER_kantoor_gas_kWh/1000),0,TER_kantoor_gas_kWh/1000)*0.903</f>
        <v>24905.295365361206</v>
      </c>
      <c r="E6" s="33">
        <f>$C$26*'E Balans VL '!I12/100/3.6*1000000</f>
        <v>3.9310230219406508</v>
      </c>
      <c r="F6" s="33">
        <f>$C$26*('E Balans VL '!L12+'E Balans VL '!N12)/100/3.6*1000000</f>
        <v>1555.973626715725</v>
      </c>
      <c r="G6" s="34"/>
      <c r="H6" s="33"/>
      <c r="I6" s="33"/>
      <c r="J6" s="33">
        <f>$C$26*('E Balans VL '!D12+'E Balans VL '!E12)/100/3.6*1000000</f>
        <v>0</v>
      </c>
      <c r="K6" s="33"/>
      <c r="L6" s="33"/>
      <c r="M6" s="33"/>
      <c r="N6" s="33">
        <f>$C$26*'E Balans VL '!Y12/100/3.6*1000000</f>
        <v>8.3345345443144616</v>
      </c>
      <c r="O6" s="33"/>
      <c r="P6" s="33"/>
      <c r="R6" s="32"/>
    </row>
    <row r="7" spans="1:18">
      <c r="A7" s="32" t="s">
        <v>52</v>
      </c>
      <c r="B7" s="37">
        <f t="shared" ref="B7:B12" si="0">B27</f>
        <v>2684.5650662881098</v>
      </c>
      <c r="C7" s="33"/>
      <c r="D7" s="37">
        <f>IF(ISERROR(TER_horeca_gas_kWh/1000),0,TER_horeca_gas_kWh/1000)*0.903</f>
        <v>2750.7409132244447</v>
      </c>
      <c r="E7" s="33">
        <f>$C$27*'E Balans VL '!I9/100/3.6*1000000</f>
        <v>0</v>
      </c>
      <c r="F7" s="33">
        <f>$C$27*('E Balans VL '!L9+'E Balans VL '!N9)/100/3.6*1000000</f>
        <v>220.12802485725291</v>
      </c>
      <c r="G7" s="34"/>
      <c r="H7" s="33"/>
      <c r="I7" s="33"/>
      <c r="J7" s="33">
        <f>$C$27*('E Balans VL '!D9+'E Balans VL '!E9)/100/3.6*1000000</f>
        <v>0</v>
      </c>
      <c r="K7" s="33"/>
      <c r="L7" s="33"/>
      <c r="M7" s="33"/>
      <c r="N7" s="33">
        <f>$C$27*'E Balans VL '!Y9/100/3.6*1000000</f>
        <v>0.82292705073205119</v>
      </c>
      <c r="O7" s="33"/>
      <c r="P7" s="33"/>
      <c r="R7" s="32"/>
    </row>
    <row r="8" spans="1:18">
      <c r="A8" s="6" t="s">
        <v>51</v>
      </c>
      <c r="B8" s="37">
        <f t="shared" si="0"/>
        <v>17048.803599401999</v>
      </c>
      <c r="C8" s="33"/>
      <c r="D8" s="37">
        <f>IF(ISERROR(TER_handel_gas_kWh/1000),0,TER_handel_gas_kWh/1000)*0.903</f>
        <v>18808.36164620976</v>
      </c>
      <c r="E8" s="33">
        <f>$C$28*'E Balans VL '!I13/100/3.6*1000000</f>
        <v>59.917226575399525</v>
      </c>
      <c r="F8" s="33">
        <f>$C$28*('E Balans VL '!L13+'E Balans VL '!N13)/100/3.6*1000000</f>
        <v>1559.9349125513729</v>
      </c>
      <c r="G8" s="34"/>
      <c r="H8" s="33"/>
      <c r="I8" s="33"/>
      <c r="J8" s="33">
        <f>$C$28*('E Balans VL '!D13+'E Balans VL '!E13)/100/3.6*1000000</f>
        <v>0</v>
      </c>
      <c r="K8" s="33"/>
      <c r="L8" s="33"/>
      <c r="M8" s="33"/>
      <c r="N8" s="33">
        <f>$C$28*'E Balans VL '!Y13/100/3.6*1000000</f>
        <v>6.1743426852395746</v>
      </c>
      <c r="O8" s="33"/>
      <c r="P8" s="33"/>
      <c r="R8" s="32"/>
    </row>
    <row r="9" spans="1:18">
      <c r="A9" s="32" t="s">
        <v>50</v>
      </c>
      <c r="B9" s="37">
        <f t="shared" si="0"/>
        <v>1202.2173505682501</v>
      </c>
      <c r="C9" s="33"/>
      <c r="D9" s="37">
        <f>IF(ISERROR(TER_gezond_gas_kWh/1000),0,TER_gezond_gas_kWh/1000)*0.903</f>
        <v>3123.1244864270025</v>
      </c>
      <c r="E9" s="33">
        <f>$C$29*'E Balans VL '!I10/100/3.6*1000000</f>
        <v>0</v>
      </c>
      <c r="F9" s="33">
        <f>$C$29*('E Balans VL '!L10+'E Balans VL '!N10)/100/3.6*1000000</f>
        <v>147.36977092463798</v>
      </c>
      <c r="G9" s="34"/>
      <c r="H9" s="33"/>
      <c r="I9" s="33"/>
      <c r="J9" s="33">
        <f>$C$29*('E Balans VL '!D10+'E Balans VL '!E10)/100/3.6*1000000</f>
        <v>0</v>
      </c>
      <c r="K9" s="33"/>
      <c r="L9" s="33"/>
      <c r="M9" s="33"/>
      <c r="N9" s="33">
        <f>$C$29*'E Balans VL '!Y10/100/3.6*1000000</f>
        <v>8.8655151894669881</v>
      </c>
      <c r="O9" s="33"/>
      <c r="P9" s="33"/>
      <c r="R9" s="32"/>
    </row>
    <row r="10" spans="1:18">
      <c r="A10" s="32" t="s">
        <v>49</v>
      </c>
      <c r="B10" s="37">
        <f t="shared" si="0"/>
        <v>1711.78585687788</v>
      </c>
      <c r="C10" s="33"/>
      <c r="D10" s="37">
        <f>IF(ISERROR(TER_ander_gas_kWh/1000),0,TER_ander_gas_kWh/1000)*0.903</f>
        <v>3207.4022945235383</v>
      </c>
      <c r="E10" s="33">
        <f>$C$30*'E Balans VL '!I14/100/3.6*1000000</f>
        <v>24.516551866624738</v>
      </c>
      <c r="F10" s="33">
        <f>$C$30*('E Balans VL '!L14+'E Balans VL '!N14)/100/3.6*1000000</f>
        <v>1019.0843241790395</v>
      </c>
      <c r="G10" s="34"/>
      <c r="H10" s="33"/>
      <c r="I10" s="33"/>
      <c r="J10" s="33">
        <f>$C$30*('E Balans VL '!D14+'E Balans VL '!E14)/100/3.6*1000000</f>
        <v>1.6905289184419886E-2</v>
      </c>
      <c r="K10" s="33"/>
      <c r="L10" s="33"/>
      <c r="M10" s="33"/>
      <c r="N10" s="33">
        <f>$C$30*'E Balans VL '!Y14/100/3.6*1000000</f>
        <v>610.94826105490085</v>
      </c>
      <c r="O10" s="33"/>
      <c r="P10" s="33"/>
      <c r="R10" s="32"/>
    </row>
    <row r="11" spans="1:18">
      <c r="A11" s="32" t="s">
        <v>54</v>
      </c>
      <c r="B11" s="37">
        <f t="shared" si="0"/>
        <v>994.23117040306499</v>
      </c>
      <c r="C11" s="33"/>
      <c r="D11" s="37">
        <f>IF(ISERROR(TER_onderwijs_gas_kWh/1000),0,TER_onderwijs_gas_kWh/1000)*0.903</f>
        <v>2911.6076519087014</v>
      </c>
      <c r="E11" s="33">
        <f>$C$31*'E Balans VL '!I11/100/3.6*1000000</f>
        <v>0</v>
      </c>
      <c r="F11" s="33">
        <f>$C$31*('E Balans VL '!L11+'E Balans VL '!N11)/100/3.6*1000000</f>
        <v>116.23746353530252</v>
      </c>
      <c r="G11" s="34"/>
      <c r="H11" s="33"/>
      <c r="I11" s="33"/>
      <c r="J11" s="33">
        <f>$C$31*('E Balans VL '!D11+'E Balans VL '!E11)/100/3.6*1000000</f>
        <v>0</v>
      </c>
      <c r="K11" s="33"/>
      <c r="L11" s="33"/>
      <c r="M11" s="33"/>
      <c r="N11" s="33">
        <f>$C$31*'E Balans VL '!Y11/100/3.6*1000000</f>
        <v>2.7996408070794661</v>
      </c>
      <c r="O11" s="33"/>
      <c r="P11" s="33"/>
      <c r="R11" s="32"/>
    </row>
    <row r="12" spans="1:18">
      <c r="A12" s="32" t="s">
        <v>255</v>
      </c>
      <c r="B12" s="37">
        <f t="shared" si="0"/>
        <v>0</v>
      </c>
      <c r="C12" s="33"/>
      <c r="D12" s="37">
        <f>IF(ISERROR(TER_rest_gas_kWh/1000),0,TER_rest_gas_kWh/1000)*0.903</f>
        <v>171.230552367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12874.500000000002</v>
      </c>
      <c r="C13" s="243">
        <f ca="1">'lokale energieproductie'!O41+'lokale energieproductie'!O34</f>
        <v>18392.142857142859</v>
      </c>
      <c r="D13" s="304">
        <f ca="1">('lokale energieproductie'!P34+'lokale energieproductie'!P41)*(-1)</f>
        <v>-36784.285714285725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52924.33776569731</v>
      </c>
      <c r="C16" s="21">
        <f t="shared" ca="1" si="1"/>
        <v>18392.142857142859</v>
      </c>
      <c r="D16" s="21">
        <f t="shared" ca="1" si="1"/>
        <v>19093.477195735933</v>
      </c>
      <c r="E16" s="21">
        <f t="shared" si="1"/>
        <v>88.364801463964909</v>
      </c>
      <c r="F16" s="21">
        <f t="shared" ca="1" si="1"/>
        <v>4618.7281227633312</v>
      </c>
      <c r="G16" s="21">
        <f t="shared" si="1"/>
        <v>0</v>
      </c>
      <c r="H16" s="21">
        <f t="shared" si="1"/>
        <v>0</v>
      </c>
      <c r="I16" s="21">
        <f t="shared" si="1"/>
        <v>0</v>
      </c>
      <c r="J16" s="21">
        <f t="shared" si="1"/>
        <v>1.6905289184419886E-2</v>
      </c>
      <c r="K16" s="21">
        <f t="shared" si="1"/>
        <v>0</v>
      </c>
      <c r="L16" s="21">
        <f t="shared" ca="1" si="1"/>
        <v>0</v>
      </c>
      <c r="M16" s="21">
        <f t="shared" si="1"/>
        <v>0</v>
      </c>
      <c r="N16" s="21">
        <f t="shared" ca="1" si="1"/>
        <v>637.94522133173336</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0.20625921552373899</v>
      </c>
      <c r="C18" s="25">
        <f ca="1">'EF ele_warmte'!B22</f>
        <v>0.23764445963517469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10916.13238966612</v>
      </c>
      <c r="C20" s="23">
        <f t="shared" ref="C20:P20" ca="1" si="2">C16*C18</f>
        <v>4370.7908508186529</v>
      </c>
      <c r="D20" s="23">
        <f t="shared" ca="1" si="2"/>
        <v>3856.882393538659</v>
      </c>
      <c r="E20" s="23">
        <f t="shared" si="2"/>
        <v>20.058809932320035</v>
      </c>
      <c r="F20" s="23">
        <f t="shared" ca="1" si="2"/>
        <v>1233.2004087778096</v>
      </c>
      <c r="G20" s="23">
        <f t="shared" si="2"/>
        <v>0</v>
      </c>
      <c r="H20" s="23">
        <f t="shared" si="2"/>
        <v>0</v>
      </c>
      <c r="I20" s="23">
        <f t="shared" si="2"/>
        <v>0</v>
      </c>
      <c r="J20" s="23">
        <f t="shared" si="2"/>
        <v>5.9844723712846395E-3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16408.234722157998</v>
      </c>
      <c r="C26" s="39">
        <f>IF(ISERROR(B26*3.6/1000000/'E Balans VL '!Z12*100),0,B26*3.6/1000000/'E Balans VL '!Z12*100)</f>
        <v>0.4627556703703421</v>
      </c>
      <c r="D26" s="233" t="s">
        <v>691</v>
      </c>
      <c r="F26" s="6"/>
    </row>
    <row r="27" spans="1:18">
      <c r="A27" s="228" t="s">
        <v>52</v>
      </c>
      <c r="B27" s="33">
        <f>IF(ISERROR(TER_horeca_ele_kWh/1000),0,TER_horeca_ele_kWh/1000)</f>
        <v>2684.5650662881098</v>
      </c>
      <c r="C27" s="39">
        <f>IF(ISERROR(B27*3.6/1000000/'E Balans VL '!Z9*100),0,B27*3.6/1000000/'E Balans VL '!Z9*100)</f>
        <v>0.19902752064992019</v>
      </c>
      <c r="D27" s="233" t="s">
        <v>691</v>
      </c>
      <c r="F27" s="6"/>
    </row>
    <row r="28" spans="1:18">
      <c r="A28" s="168" t="s">
        <v>51</v>
      </c>
      <c r="B28" s="33">
        <f>IF(ISERROR(TER_handel_ele_kWh/1000),0,TER_handel_ele_kWh/1000)</f>
        <v>17048.803599401999</v>
      </c>
      <c r="C28" s="39">
        <f>IF(ISERROR(B28*3.6/1000000/'E Balans VL '!Z13*100),0,B28*3.6/1000000/'E Balans VL '!Z13*100)</f>
        <v>0.51074162079411811</v>
      </c>
      <c r="D28" s="233" t="s">
        <v>691</v>
      </c>
      <c r="F28" s="6"/>
    </row>
    <row r="29" spans="1:18">
      <c r="A29" s="228" t="s">
        <v>50</v>
      </c>
      <c r="B29" s="33">
        <f>IF(ISERROR(TER_gezond_ele_kWh/1000),0,TER_gezond_ele_kWh/1000)</f>
        <v>1202.2173505682501</v>
      </c>
      <c r="C29" s="39">
        <f>IF(ISERROR(B29*3.6/1000000/'E Balans VL '!Z10*100),0,B29*3.6/1000000/'E Balans VL '!Z10*100)</f>
        <v>0.11887572283100924</v>
      </c>
      <c r="D29" s="233" t="s">
        <v>691</v>
      </c>
      <c r="F29" s="6"/>
    </row>
    <row r="30" spans="1:18">
      <c r="A30" s="228" t="s">
        <v>49</v>
      </c>
      <c r="B30" s="33">
        <f>IF(ISERROR(TER_ander_ele_kWh/1000),0,TER_ander_ele_kWh/1000)</f>
        <v>1711.78585687788</v>
      </c>
      <c r="C30" s="39">
        <f>IF(ISERROR(B30*3.6/1000000/'E Balans VL '!Z14*100),0,B30*3.6/1000000/'E Balans VL '!Z14*100)</f>
        <v>6.9236679253596792E-2</v>
      </c>
      <c r="D30" s="233" t="s">
        <v>691</v>
      </c>
      <c r="F30" s="6"/>
    </row>
    <row r="31" spans="1:18">
      <c r="A31" s="228" t="s">
        <v>54</v>
      </c>
      <c r="B31" s="33">
        <f>IF(ISERROR(TER_onderwijs_ele_kWh/1000),0,TER_onderwijs_ele_kWh/1000)</f>
        <v>994.23117040306499</v>
      </c>
      <c r="C31" s="39">
        <f>IF(ISERROR(B31*3.6/1000000/'E Balans VL '!Z11*100),0,B31*3.6/1000000/'E Balans VL '!Z11*100)</f>
        <v>0.27315878484809764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11893.842923398128</v>
      </c>
      <c r="C5" s="17">
        <f>IF(ISERROR('Eigen informatie GS &amp; warmtenet'!B61),0,'Eigen informatie GS &amp; warmtenet'!B61)</f>
        <v>0</v>
      </c>
      <c r="D5" s="30">
        <f>SUM(D6:D15)</f>
        <v>11077.400964955457</v>
      </c>
      <c r="E5" s="17">
        <f>SUM(E6:E15)</f>
        <v>44.772970701988307</v>
      </c>
      <c r="F5" s="17">
        <f>SUM(F6:F15)</f>
        <v>3696.4060013975709</v>
      </c>
      <c r="G5" s="18"/>
      <c r="H5" s="17"/>
      <c r="I5" s="17"/>
      <c r="J5" s="17">
        <f>SUM(J6:J15)</f>
        <v>2.0220548406912204</v>
      </c>
      <c r="K5" s="17"/>
      <c r="L5" s="17"/>
      <c r="M5" s="17"/>
      <c r="N5" s="17">
        <f>SUM(N6:N15)</f>
        <v>378.0804646387304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2195.7709492623098</v>
      </c>
      <c r="C8" s="33"/>
      <c r="D8" s="37">
        <f>IF( ISERROR(IND_metaal_Gas_kWH/1000),0,IND_metaal_Gas_kWH/1000)*0.903</f>
        <v>2454.0778076626539</v>
      </c>
      <c r="E8" s="33">
        <f>C30*'E Balans VL '!I18/100/3.6*1000000</f>
        <v>11.071460242815423</v>
      </c>
      <c r="F8" s="33">
        <f>C30*'E Balans VL '!L18/100/3.6*1000000+C30*'E Balans VL '!N18/100/3.6*1000000</f>
        <v>150.01955820400281</v>
      </c>
      <c r="G8" s="34"/>
      <c r="H8" s="33"/>
      <c r="I8" s="33"/>
      <c r="J8" s="40">
        <f>C30*'E Balans VL '!D18/100/3.6*1000000+C30*'E Balans VL '!E18/100/3.6*1000000</f>
        <v>1.946738248195919</v>
      </c>
      <c r="K8" s="33"/>
      <c r="L8" s="33"/>
      <c r="M8" s="33"/>
      <c r="N8" s="33">
        <f>C30*'E Balans VL '!Y18/100/3.6*1000000</f>
        <v>29.181808946558718</v>
      </c>
      <c r="O8" s="33"/>
      <c r="P8" s="33"/>
      <c r="R8" s="32"/>
    </row>
    <row r="9" spans="1:18">
      <c r="A9" s="6" t="s">
        <v>32</v>
      </c>
      <c r="B9" s="37">
        <f t="shared" si="0"/>
        <v>5700.4187702570898</v>
      </c>
      <c r="C9" s="33"/>
      <c r="D9" s="37">
        <f>IF( ISERROR(IND_andere_gas_kWh/1000),0,IND_andere_gas_kWh/1000)*0.903</f>
        <v>5132.2657618692465</v>
      </c>
      <c r="E9" s="33">
        <f>C31*'E Balans VL '!I19/100/3.6*1000000</f>
        <v>17.969067219665366</v>
      </c>
      <c r="F9" s="33">
        <f>C31*'E Balans VL '!L19/100/3.6*1000000+C31*'E Balans VL '!N19/100/3.6*1000000</f>
        <v>3489.5566188834409</v>
      </c>
      <c r="G9" s="34"/>
      <c r="H9" s="33"/>
      <c r="I9" s="33"/>
      <c r="J9" s="40">
        <f>C31*'E Balans VL '!D19/100/3.6*1000000+C31*'E Balans VL '!E19/100/3.6*1000000</f>
        <v>0</v>
      </c>
      <c r="K9" s="33"/>
      <c r="L9" s="33"/>
      <c r="M9" s="33"/>
      <c r="N9" s="33">
        <f>C31*'E Balans VL '!Y19/100/3.6*1000000</f>
        <v>239.02629918441679</v>
      </c>
      <c r="O9" s="33"/>
      <c r="P9" s="33"/>
      <c r="R9" s="32"/>
    </row>
    <row r="10" spans="1:18">
      <c r="A10" s="6" t="s">
        <v>40</v>
      </c>
      <c r="B10" s="37">
        <f t="shared" si="0"/>
        <v>3139.0195168288401</v>
      </c>
      <c r="C10" s="33"/>
      <c r="D10" s="37">
        <f>IF( ISERROR(IND_voed_gas_kWh/1000),0,IND_voed_gas_kWh/1000)*0.903</f>
        <v>2754.5505874044634</v>
      </c>
      <c r="E10" s="33">
        <f>C32*'E Balans VL '!I20/100/3.6*1000000</f>
        <v>5.0027155375212393</v>
      </c>
      <c r="F10" s="33">
        <f>C32*'E Balans VL '!L20/100/3.6*1000000+C32*'E Balans VL '!N20/100/3.6*1000000</f>
        <v>51.001441605675595</v>
      </c>
      <c r="G10" s="34"/>
      <c r="H10" s="33"/>
      <c r="I10" s="33"/>
      <c r="J10" s="40">
        <f>C32*'E Balans VL '!D20/100/3.6*1000000+C32*'E Balans VL '!E20/100/3.6*1000000</f>
        <v>0</v>
      </c>
      <c r="K10" s="33"/>
      <c r="L10" s="33"/>
      <c r="M10" s="33"/>
      <c r="N10" s="33">
        <f>C32*'E Balans VL '!Y20/100/3.6*1000000</f>
        <v>99.145913772390273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59.9693904472323</v>
      </c>
      <c r="C12" s="33"/>
      <c r="D12" s="37">
        <f>IF( ISERROR(IND_min_gas_kWh/1000),0,IND_min_gas_kWh/1000)*0.903</f>
        <v>123.73220899614211</v>
      </c>
      <c r="E12" s="33">
        <f>C34*'E Balans VL '!I22/100/3.6*1000000</f>
        <v>0.25950379123141903</v>
      </c>
      <c r="F12" s="33">
        <f>C34*'E Balans VL '!L22/100/3.6*1000000+C34*'E Balans VL '!N22/100/3.6*1000000</f>
        <v>2.2897053552508213</v>
      </c>
      <c r="G12" s="34"/>
      <c r="H12" s="33"/>
      <c r="I12" s="33"/>
      <c r="J12" s="40">
        <f>C34*'E Balans VL '!D22/100/3.6*1000000+C34*'E Balans VL '!E22/100/3.6*1000000</f>
        <v>0</v>
      </c>
      <c r="K12" s="33"/>
      <c r="L12" s="33"/>
      <c r="M12" s="33"/>
      <c r="N12" s="33">
        <f>C34*'E Balans VL '!Y22/100/3.6*1000000</f>
        <v>10.229427114261068</v>
      </c>
      <c r="O12" s="33"/>
      <c r="P12" s="33"/>
      <c r="R12" s="32"/>
    </row>
    <row r="13" spans="1:18">
      <c r="A13" s="6" t="s">
        <v>38</v>
      </c>
      <c r="B13" s="37">
        <f t="shared" si="0"/>
        <v>603.27611184251703</v>
      </c>
      <c r="C13" s="33"/>
      <c r="D13" s="37">
        <f>IF( ISERROR(IND_papier_gas_kWh/1000),0,IND_papier_gas_kWh/1000)*0.903</f>
        <v>308.35005428225821</v>
      </c>
      <c r="E13" s="33">
        <f>C35*'E Balans VL '!I23/100/3.6*1000000</f>
        <v>0</v>
      </c>
      <c r="F13" s="33">
        <f>C35*'E Balans VL '!L23/100/3.6*1000000+C35*'E Balans VL '!N23/100/3.6*1000000</f>
        <v>2.6136726326460479E-2</v>
      </c>
      <c r="G13" s="34"/>
      <c r="H13" s="33"/>
      <c r="I13" s="33"/>
      <c r="J13" s="40">
        <f>C35*'E Balans VL '!D23/100/3.6*1000000+C35*'E Balans VL '!E23/100/3.6*1000000</f>
        <v>1.6623134063124836E-2</v>
      </c>
      <c r="K13" s="33"/>
      <c r="L13" s="33"/>
      <c r="M13" s="33"/>
      <c r="N13" s="33">
        <f>C35*'E Balans VL '!Y23/100/3.6*1000000</f>
        <v>0</v>
      </c>
      <c r="O13" s="33"/>
      <c r="P13" s="33"/>
      <c r="R13" s="32"/>
    </row>
    <row r="14" spans="1:18">
      <c r="A14" s="6" t="s">
        <v>33</v>
      </c>
      <c r="B14" s="37">
        <f t="shared" si="0"/>
        <v>166.63885788765501</v>
      </c>
      <c r="C14" s="33"/>
      <c r="D14" s="37">
        <f>IF( ISERROR(IND_chemie_gas_kWh/1000),0,IND_chemie_gas_kWh/1000)*0.903</f>
        <v>247.07247843875547</v>
      </c>
      <c r="E14" s="33">
        <f>C36*'E Balans VL '!I24/100/3.6*1000000</f>
        <v>9.7455745318217115</v>
      </c>
      <c r="F14" s="33">
        <f>C36*'E Balans VL '!L24/100/3.6*1000000+C36*'E Balans VL '!N24/100/3.6*1000000</f>
        <v>1.1786323363438702</v>
      </c>
      <c r="G14" s="34"/>
      <c r="H14" s="33"/>
      <c r="I14" s="33"/>
      <c r="J14" s="40">
        <f>C36*'E Balans VL '!D24/100/3.6*1000000+C36*'E Balans VL '!E24/100/3.6*1000000</f>
        <v>0</v>
      </c>
      <c r="K14" s="33"/>
      <c r="L14" s="33"/>
      <c r="M14" s="33"/>
      <c r="N14" s="33">
        <f>C36*'E Balans VL '!Y24/100/3.6*1000000</f>
        <v>1.1230814935267078E-2</v>
      </c>
      <c r="O14" s="33"/>
      <c r="P14" s="33"/>
      <c r="R14" s="32"/>
    </row>
    <row r="15" spans="1:18">
      <c r="A15" s="6" t="s">
        <v>265</v>
      </c>
      <c r="B15" s="37">
        <f t="shared" si="0"/>
        <v>28.749326872482602</v>
      </c>
      <c r="C15" s="33"/>
      <c r="D15" s="37">
        <f>IF( ISERROR(IND_rest_gas_kWh/1000),0,IND_rest_gas_kWh/1000)*0.903</f>
        <v>57.352066301938088</v>
      </c>
      <c r="E15" s="33">
        <f>C37*'E Balans VL '!I15/100/3.6*1000000</f>
        <v>0.72464937893315406</v>
      </c>
      <c r="F15" s="33">
        <f>C37*'E Balans VL '!L15/100/3.6*1000000+C37*'E Balans VL '!N15/100/3.6*1000000</f>
        <v>2.3339082865299248</v>
      </c>
      <c r="G15" s="34"/>
      <c r="H15" s="33"/>
      <c r="I15" s="33"/>
      <c r="J15" s="40">
        <f>C37*'E Balans VL '!D15/100/3.6*1000000+C37*'E Balans VL '!E15/100/3.6*1000000</f>
        <v>5.869345843217675E-2</v>
      </c>
      <c r="K15" s="33"/>
      <c r="L15" s="33"/>
      <c r="M15" s="33"/>
      <c r="N15" s="33">
        <f>C37*'E Balans VL '!Y15/100/3.6*1000000</f>
        <v>0.48578480616827113</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11893.842923398128</v>
      </c>
      <c r="C18" s="21">
        <f>C5+C16</f>
        <v>0</v>
      </c>
      <c r="D18" s="21">
        <f>MAX((D5+D16),0)</f>
        <v>11077.400964955457</v>
      </c>
      <c r="E18" s="21">
        <f>MAX((E5+E16),0)</f>
        <v>44.772970701988307</v>
      </c>
      <c r="F18" s="21">
        <f>MAX((F5+F16),0)</f>
        <v>3696.4060013975709</v>
      </c>
      <c r="G18" s="21"/>
      <c r="H18" s="21"/>
      <c r="I18" s="21"/>
      <c r="J18" s="21">
        <f>MAX((J5+J16),0)</f>
        <v>2.0220548406912204</v>
      </c>
      <c r="K18" s="21"/>
      <c r="L18" s="21">
        <f>MAX((L5+L16),0)</f>
        <v>0</v>
      </c>
      <c r="M18" s="21"/>
      <c r="N18" s="21">
        <f>MAX((N5+N16),0)</f>
        <v>378.0804646387304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0.20625921552373899</v>
      </c>
      <c r="C20" s="25">
        <f ca="1">'EF ele_warmte'!B22</f>
        <v>0.23764445963517469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2453.2147109426724</v>
      </c>
      <c r="C22" s="23">
        <f ca="1">C18*C20</f>
        <v>0</v>
      </c>
      <c r="D22" s="23">
        <f>D18*D20</f>
        <v>2237.6349949210025</v>
      </c>
      <c r="E22" s="23">
        <f>E18*E20</f>
        <v>10.163464349351345</v>
      </c>
      <c r="F22" s="23">
        <f>F18*F20</f>
        <v>986.94040237315153</v>
      </c>
      <c r="G22" s="23"/>
      <c r="H22" s="23"/>
      <c r="I22" s="23"/>
      <c r="J22" s="23">
        <f>J18*J20</f>
        <v>0.71580741360469202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2195.7709492623098</v>
      </c>
      <c r="C30" s="39">
        <f>IF(ISERROR(B30*3.6/1000000/'E Balans VL '!Z18*100),0,B30*3.6/1000000/'E Balans VL '!Z18*100)</f>
        <v>0.10899312120536996</v>
      </c>
      <c r="D30" s="233" t="s">
        <v>691</v>
      </c>
    </row>
    <row r="31" spans="1:18">
      <c r="A31" s="6" t="s">
        <v>32</v>
      </c>
      <c r="B31" s="37">
        <f>IF( ISERROR(IND_ander_ele_kWh/1000),0,IND_ander_ele_kWh/1000)</f>
        <v>5700.4187702570898</v>
      </c>
      <c r="C31" s="39">
        <f>IF(ISERROR(B31*3.6/1000000/'E Balans VL '!Z19*100),0,B31*3.6/1000000/'E Balans VL '!Z19*100)</f>
        <v>0.192359922742982</v>
      </c>
      <c r="D31" s="233" t="s">
        <v>691</v>
      </c>
    </row>
    <row r="32" spans="1:18">
      <c r="A32" s="168" t="s">
        <v>40</v>
      </c>
      <c r="B32" s="37">
        <f>IF( ISERROR(IND_voed_ele_kWh/1000),0,IND_voed_ele_kWh/1000)</f>
        <v>3139.0195168288401</v>
      </c>
      <c r="C32" s="39">
        <f>IF(ISERROR(B32*3.6/1000000/'E Balans VL '!Z20*100),0,B32*3.6/1000000/'E Balans VL '!Z20*100)</f>
        <v>7.3717717098337146E-2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59.9693904472323</v>
      </c>
      <c r="C34" s="39">
        <f>IF(ISERROR(B34*3.6/1000000/'E Balans VL '!Z22*100),0,B34*3.6/1000000/'E Balans VL '!Z22*100)</f>
        <v>8.5079029124680589E-3</v>
      </c>
      <c r="D34" s="233" t="s">
        <v>691</v>
      </c>
    </row>
    <row r="35" spans="1:5">
      <c r="A35" s="168" t="s">
        <v>38</v>
      </c>
      <c r="B35" s="37">
        <f>IF( ISERROR(IND_papier_ele_kWh/1000),0,IND_papier_ele_kWh/1000)</f>
        <v>603.27611184251703</v>
      </c>
      <c r="C35" s="39">
        <f>IF(ISERROR(B35*3.6/1000000/'E Balans VL '!Z22*100),0,B35*3.6/1000000/'E Balans VL '!Z22*100)</f>
        <v>8.5587239601569706E-2</v>
      </c>
      <c r="D35" s="233" t="s">
        <v>691</v>
      </c>
    </row>
    <row r="36" spans="1:5">
      <c r="A36" s="168" t="s">
        <v>33</v>
      </c>
      <c r="B36" s="37">
        <f>IF( ISERROR(IND_chemie_ele_kWh/1000),0,IND_chemie_ele_kWh/1000)</f>
        <v>166.63885788765501</v>
      </c>
      <c r="C36" s="39">
        <f>IF(ISERROR(B36*3.6/1000000/'E Balans VL '!Z24*100),0,B36*3.6/1000000/'E Balans VL '!Z24*100)</f>
        <v>1.5216760920948882E-3</v>
      </c>
      <c r="D36" s="233" t="s">
        <v>691</v>
      </c>
    </row>
    <row r="37" spans="1:5">
      <c r="A37" s="168" t="s">
        <v>265</v>
      </c>
      <c r="B37" s="37">
        <f>IF( ISERROR(IND_rest_ele_kWh/1000),0,IND_rest_ele_kWh/1000)</f>
        <v>28.749326872482602</v>
      </c>
      <c r="C37" s="39">
        <f>IF(ISERROR(B37*3.6/1000000/'E Balans VL '!Z15*100),0,B37*3.6/1000000/'E Balans VL '!Z15*100)</f>
        <v>1.0773894201228769E-4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1571.80309114285</v>
      </c>
      <c r="C5" s="17">
        <f>'Eigen informatie GS &amp; warmtenet'!B62</f>
        <v>0</v>
      </c>
      <c r="D5" s="30">
        <f>IF(ISERROR(SUM(LB_lb_gas_kWh,LB_rest_gas_kWh)/1000),0,SUM(LB_lb_gas_kWh,LB_rest_gas_kWh)/1000)*0.903</f>
        <v>71760.282141859323</v>
      </c>
      <c r="E5" s="17">
        <f>B17*'E Balans VL '!I25/3.6*1000000/100</f>
        <v>58.617345071404316</v>
      </c>
      <c r="F5" s="17">
        <f>B17*('E Balans VL '!L25/3.6*1000000+'E Balans VL '!N25/3.6*1000000)/100</f>
        <v>5099.5365962897113</v>
      </c>
      <c r="G5" s="18"/>
      <c r="H5" s="17"/>
      <c r="I5" s="17"/>
      <c r="J5" s="17">
        <f>('E Balans VL '!D25+'E Balans VL '!E25)/3.6*1000000*landbouw!B17/100</f>
        <v>412.60607127089133</v>
      </c>
      <c r="K5" s="17"/>
      <c r="L5" s="17">
        <f>L6*(-1)</f>
        <v>0</v>
      </c>
      <c r="M5" s="17"/>
      <c r="N5" s="17">
        <f>N6*(-1)</f>
        <v>0</v>
      </c>
      <c r="O5" s="17"/>
      <c r="P5" s="17"/>
      <c r="R5" s="32"/>
    </row>
    <row r="6" spans="1:18">
      <c r="A6" s="16" t="s">
        <v>473</v>
      </c>
      <c r="B6" s="17" t="s">
        <v>210</v>
      </c>
      <c r="C6" s="17">
        <f>'lokale energieproductie'!O42+'lokale energieproductie'!O35</f>
        <v>43385.747104247108</v>
      </c>
      <c r="D6" s="304">
        <f>('lokale energieproductie'!P35+'lokale energieproductie'!P42)*(-1)</f>
        <v>-86770.115830115843</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1571.80309114285</v>
      </c>
      <c r="C8" s="21">
        <f>C5+C6</f>
        <v>43385.747104247108</v>
      </c>
      <c r="D8" s="21">
        <f>MAX((D5+D6),0)</f>
        <v>0</v>
      </c>
      <c r="E8" s="21">
        <f>MAX((E5+E6),0)</f>
        <v>58.617345071404316</v>
      </c>
      <c r="F8" s="21">
        <f>MAX((F5+F6),0)</f>
        <v>5099.5365962897113</v>
      </c>
      <c r="G8" s="21"/>
      <c r="H8" s="21"/>
      <c r="I8" s="21"/>
      <c r="J8" s="21">
        <f>MAX((J5+J6),0)</f>
        <v>412.60607127089133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0.20625921552373899</v>
      </c>
      <c r="C10" s="31">
        <f ca="1">'EF ele_warmte'!B22</f>
        <v>0.23764445963517469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324.19887253691229</v>
      </c>
      <c r="C12" s="23">
        <f ca="1">C8*C10</f>
        <v>10310.382426457149</v>
      </c>
      <c r="D12" s="23">
        <f>D8*D10</f>
        <v>0</v>
      </c>
      <c r="E12" s="23">
        <f>E8*E10</f>
        <v>13.306137331208781</v>
      </c>
      <c r="F12" s="23">
        <f>F8*F10</f>
        <v>1361.5762712093531</v>
      </c>
      <c r="G12" s="23"/>
      <c r="H12" s="23"/>
      <c r="I12" s="23"/>
      <c r="J12" s="23">
        <f>J8*J10</f>
        <v>146.06254922989552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0.21588305291945506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185.08032707290059</v>
      </c>
      <c r="C26" s="243">
        <f>B26*'GWP N2O_CH4'!B5</f>
        <v>3886.6868685309123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35.459349498089033</v>
      </c>
      <c r="C27" s="243">
        <f>B27*'GWP N2O_CH4'!B5</f>
        <v>744.64633945986964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2.4849562243232008</v>
      </c>
      <c r="C28" s="243">
        <f>B28*'GWP N2O_CH4'!B4</f>
        <v>770.33642954019228</v>
      </c>
      <c r="D28" s="50"/>
    </row>
    <row r="29" spans="1:4">
      <c r="A29" s="41" t="s">
        <v>272</v>
      </c>
      <c r="B29" s="243">
        <f>B34*'ha_N2O bodem landbouw'!B4</f>
        <v>5.8949737207542228</v>
      </c>
      <c r="C29" s="243">
        <f>B29*'GWP N2O_CH4'!B4</f>
        <v>1827.441853433809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1.3434813458958487E-3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2.2915502160961382E-3</v>
      </c>
      <c r="C5" s="434" t="s">
        <v>210</v>
      </c>
      <c r="D5" s="419">
        <f>SUM(D6:D11)</f>
        <v>3.6391885836914105E-3</v>
      </c>
      <c r="E5" s="419">
        <f>SUM(E6:E11)</f>
        <v>2.2388776848054409E-3</v>
      </c>
      <c r="F5" s="432" t="s">
        <v>210</v>
      </c>
      <c r="G5" s="419">
        <f>SUM(G6:G11)</f>
        <v>1.1676263712179502</v>
      </c>
      <c r="H5" s="419">
        <f>SUM(H6:H11)</f>
        <v>0.22683177239697191</v>
      </c>
      <c r="I5" s="434" t="s">
        <v>210</v>
      </c>
      <c r="J5" s="434" t="s">
        <v>210</v>
      </c>
      <c r="K5" s="434" t="s">
        <v>210</v>
      </c>
      <c r="L5" s="434" t="s">
        <v>210</v>
      </c>
      <c r="M5" s="419">
        <f>SUM(M6:M11)</f>
        <v>8.1507392753737876E-2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7.2245965445202572E-4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1.2554077247281237E-3</v>
      </c>
      <c r="E6" s="885">
        <f>vkm_GW_PW*SUMIFS(TableVerdeelsleutelVkm[LPG],TableVerdeelsleutelVkm[Voertuigtype],"Lichte voertuigen")*SUMIFS(TableECFTransport[EnergieConsumptieFactor (PJ per km)],TableECFTransport[Index],CONCATENATE($A6,"_LPG_LPG"))</f>
        <v>6.9808858906408909E-4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0.20978225840030243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7.6487312721130463E-2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1.7128216021382911E-2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6.3307587674699318E-6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0.26201426458373905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2.665514796101799E-6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1.4751807044282349E-2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2.2570829882808511E-4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5.0358729916680266E-4</v>
      </c>
      <c r="E8" s="422">
        <f>vkm_NGW_PW*SUMIFS(TableVerdeelsleutelVkm[LPG],TableVerdeelsleutelVkm[Voertuigtype],"Lichte voertuigen")*SUMIFS(TableECFTransport[EnergieConsumptieFactor (PJ per km)],TableECFTransport[Index],CONCATENATE($A8,"_LPG_LPG"))</f>
        <v>2.6820955206261052E-4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7.417574906079881E-2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3.0306017179801997E-2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6.2829919890451374E-3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1.0109767513448478E-6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5.3882488336670253E-2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5.1378680584339139E-7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3.0336647748866129E-3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1.330411098075448E-3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1.8801935597964842E-3</v>
      </c>
      <c r="E10" s="422">
        <f>vkm_SW_PW*SUMIFS(TableVerdeelsleutelVkm[LPG],TableVerdeelsleutelVkm[Voertuigtype],"Lichte voertuigen")*SUMIFS(TableECFTransport[EnergieConsumptieFactor (PJ per km)],TableECFTransport[Index],CONCATENATE($A10,"_LPG_LPG"))</f>
        <v>1.2725795436787412E-3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0.34766295624935878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0.12003282358595341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2.7918242396682599E-2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5.6294292217643598E-6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0.22010865458708087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2.439608484093311E-6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1.2392470527458276E-2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636.54172669337174</v>
      </c>
      <c r="C14" s="21"/>
      <c r="D14" s="21">
        <f t="shared" ref="D14:M14" si="0">((D5)*10^9/3600)+D12</f>
        <v>1010.8857176920585</v>
      </c>
      <c r="E14" s="21">
        <f t="shared" si="0"/>
        <v>621.91046800151128</v>
      </c>
      <c r="F14" s="21"/>
      <c r="G14" s="21">
        <f t="shared" si="0"/>
        <v>324340.65867165278</v>
      </c>
      <c r="H14" s="21">
        <f t="shared" si="0"/>
        <v>63008.825665825534</v>
      </c>
      <c r="I14" s="21"/>
      <c r="J14" s="21"/>
      <c r="K14" s="21"/>
      <c r="L14" s="21"/>
      <c r="M14" s="21">
        <f t="shared" si="0"/>
        <v>22640.942431593856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0.20625921552373899</v>
      </c>
      <c r="C16" s="56">
        <f ca="1">'EF ele_warmte'!B22</f>
        <v>0.23764445963517469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131.29259719590112</v>
      </c>
      <c r="C18" s="23"/>
      <c r="D18" s="23">
        <f t="shared" ref="D18:M18" si="1">D14*D16</f>
        <v>204.19891497379584</v>
      </c>
      <c r="E18" s="23">
        <f t="shared" si="1"/>
        <v>141.17367623634306</v>
      </c>
      <c r="F18" s="23"/>
      <c r="G18" s="23">
        <f t="shared" si="1"/>
        <v>86598.9558653313</v>
      </c>
      <c r="H18" s="23">
        <f t="shared" si="1"/>
        <v>15689.197590790558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8.9721841358624552E-5</v>
      </c>
      <c r="C50" s="315">
        <f t="shared" ref="C50:P50" si="2">SUM(C51:C52)</f>
        <v>0</v>
      </c>
      <c r="D50" s="315">
        <f t="shared" si="2"/>
        <v>0</v>
      </c>
      <c r="E50" s="315">
        <f t="shared" si="2"/>
        <v>0</v>
      </c>
      <c r="F50" s="315">
        <f t="shared" si="2"/>
        <v>0</v>
      </c>
      <c r="G50" s="315">
        <f t="shared" si="2"/>
        <v>6.4041832890670775E-3</v>
      </c>
      <c r="H50" s="315">
        <f t="shared" si="2"/>
        <v>0</v>
      </c>
      <c r="I50" s="315">
        <f t="shared" si="2"/>
        <v>0</v>
      </c>
      <c r="J50" s="315">
        <f t="shared" si="2"/>
        <v>0</v>
      </c>
      <c r="K50" s="315">
        <f t="shared" si="2"/>
        <v>0</v>
      </c>
      <c r="L50" s="315">
        <f t="shared" si="2"/>
        <v>0</v>
      </c>
      <c r="M50" s="315">
        <f t="shared" si="2"/>
        <v>3.5362999596411478E-4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8.9721841358624552E-5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6.4041832890670775E-3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3.5362999596411478E-4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24.922733710729045</v>
      </c>
      <c r="C54" s="21">
        <f t="shared" ref="C54:P54" si="3">(C50)*10^9/3600</f>
        <v>0</v>
      </c>
      <c r="D54" s="21">
        <f t="shared" si="3"/>
        <v>0</v>
      </c>
      <c r="E54" s="21">
        <f t="shared" si="3"/>
        <v>0</v>
      </c>
      <c r="F54" s="21">
        <f t="shared" si="3"/>
        <v>0</v>
      </c>
      <c r="G54" s="21">
        <f t="shared" si="3"/>
        <v>1778.9398025186326</v>
      </c>
      <c r="H54" s="21">
        <f t="shared" si="3"/>
        <v>0</v>
      </c>
      <c r="I54" s="21">
        <f t="shared" si="3"/>
        <v>0</v>
      </c>
      <c r="J54" s="21">
        <f t="shared" si="3"/>
        <v>0</v>
      </c>
      <c r="K54" s="21">
        <f t="shared" si="3"/>
        <v>0</v>
      </c>
      <c r="L54" s="21">
        <f t="shared" si="3"/>
        <v>0</v>
      </c>
      <c r="M54" s="21">
        <f t="shared" si="3"/>
        <v>98.230554434476332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0.20625921552373899</v>
      </c>
      <c r="C56" s="56">
        <f ca="1">'EF ele_warmte'!B22</f>
        <v>0.23764445963517469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5.1405435038820171</v>
      </c>
      <c r="C58" s="23">
        <f t="shared" ref="C58:P58" ca="1" si="4">C54*C56</f>
        <v>0</v>
      </c>
      <c r="D58" s="23">
        <f t="shared" si="4"/>
        <v>0</v>
      </c>
      <c r="E58" s="23">
        <f t="shared" si="4"/>
        <v>0</v>
      </c>
      <c r="F58" s="23">
        <f t="shared" si="4"/>
        <v>0</v>
      </c>
      <c r="G58" s="23">
        <f t="shared" si="4"/>
        <v>474.97692727247494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10279.80516890662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43244.5</v>
      </c>
      <c r="C8" s="544">
        <f>B51</f>
        <v>50875.32591432333</v>
      </c>
      <c r="D8" s="545"/>
      <c r="E8" s="545">
        <f>E51</f>
        <v>0</v>
      </c>
      <c r="F8" s="546"/>
      <c r="G8" s="547"/>
      <c r="H8" s="545">
        <f>I51</f>
        <v>0</v>
      </c>
      <c r="I8" s="545">
        <f>G51+F51</f>
        <v>0</v>
      </c>
      <c r="J8" s="545">
        <f>H51+D51+C51</f>
        <v>0</v>
      </c>
      <c r="K8" s="545"/>
      <c r="L8" s="545"/>
      <c r="M8" s="545"/>
      <c r="N8" s="548"/>
      <c r="O8" s="549">
        <f>C8*$C$12+D8*$D$12+E8*$E$12+F8*$F$12+G8*$G$12+H8*$H$12+I8*$I$12+J8*$J$12</f>
        <v>10276.815834693314</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53524.30516890662</v>
      </c>
      <c r="C10" s="559">
        <f t="shared" ref="C10:L10" si="0">SUM(C8:C9)</f>
        <v>50875.32591432333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10276.815834693314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61777.889961389963</v>
      </c>
      <c r="C17" s="575">
        <f>B52</f>
        <v>72679.075630078223</v>
      </c>
      <c r="D17" s="576"/>
      <c r="E17" s="576">
        <f>E52</f>
        <v>0</v>
      </c>
      <c r="F17" s="577"/>
      <c r="G17" s="578"/>
      <c r="H17" s="575">
        <f>I52</f>
        <v>0</v>
      </c>
      <c r="I17" s="576">
        <f>G52+F52</f>
        <v>0</v>
      </c>
      <c r="J17" s="576">
        <f>H52+D52+C52</f>
        <v>0</v>
      </c>
      <c r="K17" s="576"/>
      <c r="L17" s="576"/>
      <c r="M17" s="576"/>
      <c r="N17" s="961"/>
      <c r="O17" s="579">
        <f>C17*$C$22+E17*$E$22+H17*$H$22+I17*$I$22+J17*$J$22+D17*$D$22+F17*$F$22+G17*$G$22+K17*$K$22+L17*$L$22</f>
        <v>14681.173277275802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61777.889961389963</v>
      </c>
      <c r="C20" s="558">
        <f>SUM(C17:C19)</f>
        <v>72679.075630078223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14681.173277275802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11024</v>
      </c>
      <c r="C28" s="786">
        <v>2550</v>
      </c>
      <c r="D28" s="636" t="s">
        <v>883</v>
      </c>
      <c r="E28" s="635" t="s">
        <v>884</v>
      </c>
      <c r="F28" s="635" t="s">
        <v>885</v>
      </c>
      <c r="G28" s="635" t="s">
        <v>886</v>
      </c>
      <c r="H28" s="635" t="s">
        <v>887</v>
      </c>
      <c r="I28" s="635" t="s">
        <v>884</v>
      </c>
      <c r="J28" s="785">
        <v>39444</v>
      </c>
      <c r="K28" s="785">
        <v>43133</v>
      </c>
      <c r="L28" s="635" t="s">
        <v>888</v>
      </c>
      <c r="M28" s="635">
        <v>4019</v>
      </c>
      <c r="N28" s="635">
        <v>18085.5</v>
      </c>
      <c r="O28" s="635">
        <v>25836.428571428572</v>
      </c>
      <c r="P28" s="635">
        <v>51672.857142857145</v>
      </c>
      <c r="Q28" s="635">
        <v>0</v>
      </c>
      <c r="R28" s="635">
        <v>0</v>
      </c>
      <c r="S28" s="635">
        <v>0</v>
      </c>
      <c r="T28" s="635">
        <v>0</v>
      </c>
      <c r="U28" s="635">
        <v>0</v>
      </c>
      <c r="V28" s="635">
        <v>0</v>
      </c>
      <c r="W28" s="635">
        <v>0</v>
      </c>
      <c r="X28" s="635">
        <v>10</v>
      </c>
      <c r="Y28" s="635" t="s">
        <v>111</v>
      </c>
      <c r="Z28" s="637" t="s">
        <v>111</v>
      </c>
    </row>
    <row r="29" spans="1:26" s="589" customFormat="1" ht="63.75">
      <c r="A29" s="588"/>
      <c r="B29" s="786">
        <v>11024</v>
      </c>
      <c r="C29" s="786">
        <v>2550</v>
      </c>
      <c r="D29" s="636" t="s">
        <v>889</v>
      </c>
      <c r="E29" s="635" t="s">
        <v>890</v>
      </c>
      <c r="F29" s="635" t="s">
        <v>891</v>
      </c>
      <c r="G29" s="635" t="s">
        <v>886</v>
      </c>
      <c r="H29" s="635" t="s">
        <v>887</v>
      </c>
      <c r="I29" s="635" t="s">
        <v>892</v>
      </c>
      <c r="J29" s="785">
        <v>41991</v>
      </c>
      <c r="K29" s="785">
        <v>39583</v>
      </c>
      <c r="L29" s="635" t="s">
        <v>893</v>
      </c>
      <c r="M29" s="635">
        <v>2861</v>
      </c>
      <c r="N29" s="635">
        <v>12874.500000000002</v>
      </c>
      <c r="O29" s="635">
        <v>18392.142857142859</v>
      </c>
      <c r="P29" s="635">
        <v>36784.285714285725</v>
      </c>
      <c r="Q29" s="635">
        <v>0</v>
      </c>
      <c r="R29" s="635">
        <v>0</v>
      </c>
      <c r="S29" s="635">
        <v>0</v>
      </c>
      <c r="T29" s="635">
        <v>0</v>
      </c>
      <c r="U29" s="635">
        <v>0</v>
      </c>
      <c r="V29" s="635">
        <v>0</v>
      </c>
      <c r="W29" s="635">
        <v>0</v>
      </c>
      <c r="X29" s="635">
        <v>1600</v>
      </c>
      <c r="Y29" s="635" t="s">
        <v>49</v>
      </c>
      <c r="Z29" s="637" t="s">
        <v>155</v>
      </c>
    </row>
    <row r="30" spans="1:26" s="589" customFormat="1" ht="25.5">
      <c r="A30" s="588"/>
      <c r="B30" s="786">
        <v>11024</v>
      </c>
      <c r="C30" s="786">
        <v>2550</v>
      </c>
      <c r="D30" s="636" t="s">
        <v>894</v>
      </c>
      <c r="E30" s="635" t="s">
        <v>895</v>
      </c>
      <c r="F30" s="635" t="s">
        <v>896</v>
      </c>
      <c r="G30" s="635" t="s">
        <v>886</v>
      </c>
      <c r="H30" s="635" t="s">
        <v>887</v>
      </c>
      <c r="I30" s="635" t="s">
        <v>895</v>
      </c>
      <c r="J30" s="785">
        <v>40849</v>
      </c>
      <c r="K30" s="785">
        <v>39645</v>
      </c>
      <c r="L30" s="635" t="s">
        <v>893</v>
      </c>
      <c r="M30" s="635">
        <v>2728</v>
      </c>
      <c r="N30" s="635">
        <v>12276.000000000002</v>
      </c>
      <c r="O30" s="635">
        <v>17537.142857142859</v>
      </c>
      <c r="P30" s="635">
        <v>35074.285714285725</v>
      </c>
      <c r="Q30" s="635">
        <v>0</v>
      </c>
      <c r="R30" s="635">
        <v>0</v>
      </c>
      <c r="S30" s="635">
        <v>0</v>
      </c>
      <c r="T30" s="635">
        <v>0</v>
      </c>
      <c r="U30" s="635">
        <v>0</v>
      </c>
      <c r="V30" s="635">
        <v>0</v>
      </c>
      <c r="W30" s="635">
        <v>0</v>
      </c>
      <c r="X30" s="635">
        <v>10</v>
      </c>
      <c r="Y30" s="635" t="s">
        <v>111</v>
      </c>
      <c r="Z30" s="637" t="s">
        <v>111</v>
      </c>
    </row>
    <row r="31" spans="1:26" s="589" customFormat="1" ht="25.5">
      <c r="A31" s="588"/>
      <c r="B31" s="786">
        <v>11024</v>
      </c>
      <c r="C31" s="786">
        <v>2550</v>
      </c>
      <c r="D31" s="636"/>
      <c r="E31" s="635"/>
      <c r="F31" s="635" t="s">
        <v>897</v>
      </c>
      <c r="G31" s="635" t="s">
        <v>898</v>
      </c>
      <c r="H31" s="635" t="s">
        <v>898</v>
      </c>
      <c r="I31" s="635" t="s">
        <v>899</v>
      </c>
      <c r="J31" s="785">
        <v>42311</v>
      </c>
      <c r="K31" s="785">
        <v>42280</v>
      </c>
      <c r="L31" s="635" t="s">
        <v>893</v>
      </c>
      <c r="M31" s="635">
        <v>1.7</v>
      </c>
      <c r="N31" s="635">
        <v>8.5</v>
      </c>
      <c r="O31" s="635">
        <v>12.175675675675675</v>
      </c>
      <c r="P31" s="635">
        <v>22.972972972972972</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9609.7000000000007</v>
      </c>
      <c r="N32" s="593">
        <f>SUM(N28:N31)</f>
        <v>43244.5</v>
      </c>
      <c r="O32" s="593">
        <f>SUM(O28:O31)</f>
        <v>61777.889961389963</v>
      </c>
      <c r="P32" s="593">
        <f>SUM(P28:P31)</f>
        <v>123554.40154440157</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2861</v>
      </c>
      <c r="N34" s="593">
        <f ca="1">SUMIF($Z$28:AD31,"tertiair",N28:N31)</f>
        <v>12874.500000000002</v>
      </c>
      <c r="O34" s="593">
        <f ca="1">SUMIF($Z$28:AE31,"tertiair",O28:O31)</f>
        <v>18392.142857142859</v>
      </c>
      <c r="P34" s="593">
        <f ca="1">SUMIF($Z$28:AF31,"tertiair",P28:P31)</f>
        <v>36784.285714285725</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6748.7</v>
      </c>
      <c r="N35" s="598">
        <f>SUMIF($Z$28:$Z$31,"landbouw",N28:N31)</f>
        <v>30370</v>
      </c>
      <c r="O35" s="598">
        <f>SUMIF($Z$28:$Z$31,"landbouw",O28:O31)</f>
        <v>43385.747104247108</v>
      </c>
      <c r="P35" s="598">
        <f>SUMIF($Z$28:$Z$31,"landbouw",P28:P31)</f>
        <v>86770.115830115843</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0.5882354227903378</v>
      </c>
      <c r="C48" s="618">
        <f>IF(ISERROR(N32/(O32+N32)),0,N32/(N32+O32))</f>
        <v>0.41176457720966209</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50875.32591432333</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72679.075630078223</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2021-06-29T14:24:01Z</dcterms:modified>
</cp:coreProperties>
</file>