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3" i="18" l="1"/>
  <c r="V53" i="18"/>
  <c r="U53" i="18"/>
  <c r="T53" i="18"/>
  <c r="S53" i="18"/>
  <c r="R53" i="18"/>
  <c r="Q53" i="18"/>
  <c r="P53" i="18"/>
  <c r="O53" i="18"/>
  <c r="N53" i="18"/>
  <c r="M53" i="18"/>
  <c r="W52" i="18"/>
  <c r="V52" i="18"/>
  <c r="U52" i="18"/>
  <c r="T52" i="18"/>
  <c r="S52" i="18"/>
  <c r="R52" i="18"/>
  <c r="Q52" i="18"/>
  <c r="P52" i="18"/>
  <c r="O52" i="18"/>
  <c r="N52" i="18"/>
  <c r="M52" i="18"/>
  <c r="W51" i="18"/>
  <c r="V51" i="18"/>
  <c r="U51" i="18"/>
  <c r="T51" i="18"/>
  <c r="S51" i="18"/>
  <c r="R51" i="18"/>
  <c r="Q51" i="18"/>
  <c r="P51" i="18"/>
  <c r="O51" i="18"/>
  <c r="N51" i="18"/>
  <c r="M51" i="18"/>
  <c r="W50" i="18"/>
  <c r="H9" i="18" s="1"/>
  <c r="M77" i="14" s="1"/>
  <c r="M9" i="59" s="1"/>
  <c r="V50" i="18"/>
  <c r="U50" i="18"/>
  <c r="T50" i="18"/>
  <c r="S50" i="18"/>
  <c r="E9" i="18" s="1"/>
  <c r="F77" i="14" s="1"/>
  <c r="F9" i="59" s="1"/>
  <c r="R50" i="18"/>
  <c r="Q50" i="18"/>
  <c r="P50" i="18"/>
  <c r="O50" i="18"/>
  <c r="N50" i="18"/>
  <c r="B9" i="18" s="1"/>
  <c r="M50" i="18"/>
  <c r="W45" i="18"/>
  <c r="V45" i="18"/>
  <c r="U45" i="18"/>
  <c r="T45" i="18"/>
  <c r="L6" i="17" s="1"/>
  <c r="L5" i="17" s="1"/>
  <c r="S45" i="18"/>
  <c r="R45" i="18"/>
  <c r="Q45" i="18"/>
  <c r="P45" i="18"/>
  <c r="O45" i="18"/>
  <c r="N45" i="18"/>
  <c r="M45" i="18"/>
  <c r="W44" i="18"/>
  <c r="V44" i="18"/>
  <c r="U44" i="18"/>
  <c r="T44" i="18"/>
  <c r="S44" i="18"/>
  <c r="R44" i="18"/>
  <c r="Q44" i="18"/>
  <c r="P44" i="18"/>
  <c r="O44" i="18"/>
  <c r="C13" i="15" s="1"/>
  <c r="N44" i="18"/>
  <c r="M44" i="18"/>
  <c r="W43" i="18"/>
  <c r="V43" i="18"/>
  <c r="U43" i="18"/>
  <c r="T43" i="18"/>
  <c r="S43" i="18"/>
  <c r="F16" i="16" s="1"/>
  <c r="R43" i="18"/>
  <c r="Q43" i="18"/>
  <c r="P43" i="18"/>
  <c r="D16" i="16" s="1"/>
  <c r="O43" i="18"/>
  <c r="N43" i="18"/>
  <c r="W42" i="18"/>
  <c r="V42" i="18"/>
  <c r="U42" i="18"/>
  <c r="T42" i="18"/>
  <c r="S42" i="18"/>
  <c r="R42" i="18"/>
  <c r="Q42" i="18"/>
  <c r="P42" i="18"/>
  <c r="O42" i="18"/>
  <c r="B17" i="18" s="1"/>
  <c r="N42" i="18"/>
  <c r="B8" i="18" s="1"/>
  <c r="M4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D6" i="17"/>
  <c r="P5" i="13"/>
  <c r="P8" i="13" s="1"/>
  <c r="B37"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9" i="18"/>
  <c r="B63" i="18" s="1"/>
  <c r="B16" i="16"/>
  <c r="K9" i="14"/>
  <c r="H77" i="14"/>
  <c r="J11" i="48"/>
  <c r="J29" i="48" s="1"/>
  <c r="M9" i="14"/>
  <c r="L11" i="48"/>
  <c r="O19" i="14"/>
  <c r="O22" i="14" s="1"/>
  <c r="N10" i="48"/>
  <c r="N28" i="48" s="1"/>
  <c r="J19" i="14"/>
  <c r="J22" i="14" s="1"/>
  <c r="I10" i="48"/>
  <c r="I28" i="48" s="1"/>
  <c r="J19" i="19"/>
  <c r="K39" i="14" s="1"/>
  <c r="N19" i="19"/>
  <c r="O39" i="14" s="1"/>
  <c r="C59" i="18"/>
  <c r="I6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62" i="18"/>
  <c r="E8" i="18" s="1"/>
  <c r="F76" i="14" s="1"/>
  <c r="F7" i="48"/>
  <c r="F25" i="48" s="1"/>
  <c r="D62" i="18"/>
  <c r="O9" i="18"/>
  <c r="M29" i="48"/>
  <c r="F12" i="17"/>
  <c r="G54" i="14" s="1"/>
  <c r="G56" i="14" s="1"/>
  <c r="C63" i="18"/>
  <c r="C62" i="18"/>
  <c r="B10" i="18"/>
  <c r="E63" i="18"/>
  <c r="E17" i="18" s="1"/>
  <c r="F87" i="14" s="1"/>
  <c r="G63" i="18"/>
  <c r="D7" i="48"/>
  <c r="D25" i="48" s="1"/>
  <c r="H62" i="18"/>
  <c r="G62" i="18"/>
  <c r="D63" i="18"/>
  <c r="L28" i="48"/>
  <c r="H63" i="18"/>
  <c r="I63" i="18"/>
  <c r="H17" i="18" s="1"/>
  <c r="F63" i="18"/>
  <c r="F62" i="18"/>
  <c r="H10" i="18"/>
  <c r="M78" i="14"/>
  <c r="B6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19"/>
  <c r="C19" i="19" s="1"/>
  <c r="D39" i="14" s="1"/>
  <c r="C56" i="22"/>
  <c r="C58" i="22" s="1"/>
  <c r="D49" i="14" s="1"/>
  <c r="D52" i="14" s="1"/>
  <c r="C20" i="16"/>
  <c r="C22" i="16" s="1"/>
  <c r="D43" i="14" s="1"/>
  <c r="C18" i="15"/>
  <c r="C20" i="15" s="1"/>
  <c r="D40" i="14" s="1"/>
  <c r="C17" i="49"/>
  <c r="C29" i="20"/>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<sst xmlns="http://schemas.openxmlformats.org/spreadsheetml/2006/main" count="2588" uniqueCount="941">
  <si>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</si>
  <si>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</si>
  <si>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</si>
  <si>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</si>
  <si>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</si>
  <si>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</si>
  <si>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</si>
  <si>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</si>
  <si>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</si>
  <si>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</si>
  <si>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</si>
  <si>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</si>
  <si>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</si>
  <si>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</si>
  <si>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</si>
  <si>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</si>
  <si>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</si>
  <si>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</si>
  <si>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</si>
  <si>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</si>
  <si>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</si>
  <si>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</si>
  <si>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</si>
  <si>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</si>
  <si>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</si>
  <si>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</si>
  <si>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</si>
  <si>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</si>
  <si>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</si>
  <si>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</si>
  <si>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</si>
  <si>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</si>
  <si>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</si>
  <si>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</si>
  <si>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</si>
  <si>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</si>
  <si>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</si>
  <si>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</si>
  <si>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</si>
  <si>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</si>
  <si>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</si>
  <si>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</si>
  <si>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</si>
  <si>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</si>
  <si>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</si>
  <si>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</si>
  <si>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</si>
  <si>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</si>
  <si>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</si>
  <si>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</si>
  <si>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</si>
  <si>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</si>
  <si>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</si>
  <si>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</si>
  <si>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</si>
  <si>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</si>
  <si>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</si>
  <si>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</si>
  <si>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</si>
  <si>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</si>
  <si>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</si>
  <si>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</si>
  <si>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</si>
  <si>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</si>
  <si>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</si>
  <si>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</si>
  <si>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</si>
  <si>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</si>
  <si>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</si>
  <si>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</si>
  <si>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</si>
  <si>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</si>
  <si>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</si>
  <si>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</si>
  <si>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</si>
  <si>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</si>
  <si>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</si>
  <si>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</si>
  <si>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</si>
  <si>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</si>
  <si>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</si>
  <si>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</si>
  <si>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</si>
  <si>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</si>
  <si>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</si>
  <si>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</si>
  <si>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</si>
  <si>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</si>
  <si>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</si>
  <si>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</si>
  <si>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</si>
  <si>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</si>
  <si>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</si>
  <si>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</si>
  <si>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</si>
  <si>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</si>
  <si>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</si>
  <si>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</si>
  <si>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</si>
  <si>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</si>
  <si>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</si>
  <si>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</si>
  <si>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</si>
  <si>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</si>
  <si>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</si>
  <si>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</si>
  <si>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</si>
  <si>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</si>
  <si>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</si>
  <si>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</si>
  <si>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</si>
  <si>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</si>
  <si>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</si>
  <si>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</si>
  <si>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</si>
  <si>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</si>
  <si>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</si>
  <si>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</si>
  <si>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</si>
  <si>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</si>
  <si>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</si>
  <si>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</si>
  <si>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</si>
  <si>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</si>
  <si>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</si>
  <si>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</si>
  <si>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</si>
  <si>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</si>
  <si>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</si>
  <si>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</si>
  <si>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</si>
  <si>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</si>
  <si>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</si>
  <si>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</si>
  <si>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</si>
  <si>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</si>
  <si>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</si>
  <si>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</si>
  <si>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</si>
  <si>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</si>
  <si>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</si>
  <si>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</si>
  <si>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</si>
  <si>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</si>
  <si>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</si>
  <si>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</si>
  <si>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</si>
  <si>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</si>
  <si>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</si>
  <si>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</si>
  <si>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</si>
  <si>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</si>
  <si>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</si>
  <si>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</si>
  <si>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</si>
  <si>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</si>
  <si>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</si>
  <si>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</si>
  <si>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</si>
  <si>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</si>
  <si>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</si>
  <si>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</si>
  <si>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</si>
  <si>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</si>
  <si>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</si>
  <si>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</si>
  <si>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</si>
  <si>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</si>
  <si>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</si>
  <si>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</si>
  <si>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</si>
  <si>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</si>
  <si>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</si>
  <si>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</si>
  <si>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</si>
  <si>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</si>
  <si>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</si>
  <si>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</si>
  <si>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</si>
  <si>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</si>
  <si>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</si>
  <si>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</si>
  <si>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</si>
  <si>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</si>
  <si>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</si>
  <si>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</si>
  <si>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</si>
  <si>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</si>
  <si>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</si>
  <si>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</si>
  <si>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</si>
  <si>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</si>
  <si>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</si>
  <si>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</si>
  <si>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</si>
  <si>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</si>
  <si>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</si>
  <si>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</si>
  <si>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</si>
  <si>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</si>
  <si>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</si>
  <si>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</si>
  <si>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</si>
  <si>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</si>
  <si>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</si>
  <si>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</si>
  <si>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</si>
  <si>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</si>
  <si>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</si>
  <si>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</si>
  <si>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</si>
  <si>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</si>
  <si>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</si>
  <si>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</si>
  <si>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</si>
  <si>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</si>
  <si>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</si>
  <si>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</si>
  <si>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</si>
  <si>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</si>
  <si>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</si>
  <si>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</si>
  <si>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</si>
  <si>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</si>
  <si>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</si>
  <si>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</si>
  <si>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</si>
  <si>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</si>
  <si>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</si>
  <si>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</si>
  <si>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</si>
  <si>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</si>
  <si>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</si>
  <si>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</si>
  <si>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</si>
  <si>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</si>
  <si>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</si>
  <si>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</si>
  <si>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</si>
  <si>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</si>
  <si>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</si>
  <si>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</si>
  <si>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</si>
  <si>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</si>
  <si>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</si>
  <si>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</si>
  <si>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</si>
  <si>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</si>
  <si>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</si>
  <si>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</si>
  <si>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</si>
  <si>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</si>
  <si>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</si>
  <si>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</si>
  <si>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</si>
  <si>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</si>
  <si>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</si>
  <si>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</si>
  <si>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</si>
  <si>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</si>
  <si>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</si>
  <si>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</si>
  <si>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</si>
  <si>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</si>
  <si>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</si>
  <si>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</si>
  <si>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</si>
  <si>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</si>
  <si>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</si>
  <si>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</si>
  <si>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</si>
  <si>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</si>
  <si>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</si>
  <si>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</si>
  <si>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</si>
  <si>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</si>
  <si>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</si>
  <si>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</si>
  <si>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</si>
  <si>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</si>
  <si>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</si>
  <si>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</si>
  <si>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</si>
  <si>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</si>
  <si>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</si>
  <si>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</si>
  <si>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</si>
  <si>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</si>
  <si>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</si>
  <si>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</si>
  <si>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</si>
  <si>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</si>
  <si>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</si>
  <si>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</si>
  <si>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</si>
  <si>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</si>
  <si>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</si>
  <si>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</si>
  <si>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</si>
  <si>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</si>
  <si>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</si>
  <si>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</si>
  <si>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</si>
  <si>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</si>
  <si>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</si>
  <si>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</si>
  <si>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</si>
  <si>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</si>
  <si>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</si>
  <si>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</si>
  <si>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</si>
  <si>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</si>
  <si>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</si>
  <si>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</si>
  <si>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</si>
  <si>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</si>
  <si>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</si>
  <si>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</si>
  <si>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</si>
  <si>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</si>
  <si>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</si>
  <si>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</si>
  <si>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</si>
  <si>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</si>
  <si>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</si>
  <si>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</si>
  <si>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</si>
  <si>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</si>
  <si>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</si>
  <si>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</si>
  <si>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</si>
  <si>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</si>
  <si>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</si>
  <si>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</si>
  <si>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</si>
  <si>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</si>
  <si>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</si>
  <si>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</si>
  <si>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</si>
  <si>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</si>
  <si>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</si>
  <si>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</si>
  <si>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</si>
  <si>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</si>
  <si>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</si>
  <si>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</si>
  <si>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</si>
  <si>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</si>
  <si>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</si>
  <si>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</si>
  <si>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</si>
  <si>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</si>
  <si>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</si>
  <si>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</si>
  <si>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</si>
  <si>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</si>
  <si>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</si>
  <si>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</si>
  <si>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</si>
  <si>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</si>
  <si>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</si>
  <si>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</si>
  <si>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</si>
  <si>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</si>
  <si>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</si>
  <si>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</si>
  <si>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</si>
  <si>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</si>
  <si>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</si>
  <si>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</si>
  <si>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</si>
  <si>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</si>
  <si>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</si>
  <si>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</si>
  <si>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</si>
  <si>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</si>
  <si>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</si>
  <si>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</si>
  <si>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</si>
  <si>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</si>
  <si>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</si>
  <si>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</si>
  <si>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</si>
  <si>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</si>
  <si>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</si>
  <si>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</si>
  <si>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</si>
  <si>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</si>
  <si>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</si>
  <si>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</si>
  <si>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</si>
  <si>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</si>
  <si>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</si>
  <si>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</si>
  <si>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</si>
  <si>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</si>
  <si>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</si>
  <si>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</si>
  <si>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</si>
  <si>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</si>
  <si>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</si>
  <si>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</si>
  <si>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</si>
  <si>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</si>
  <si>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</si>
  <si>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</si>
  <si>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</si>
  <si>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</si>
  <si>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</si>
  <si>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</si>
  <si>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</si>
  <si>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</si>
  <si>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</si>
  <si>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</si>
  <si>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</si>
  <si>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</si>
  <si>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</si>
  <si>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</si>
  <si>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</si>
  <si>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</si>
  <si>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</si>
  <si>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</si>
  <si>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</si>
  <si>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</si>
  <si>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</si>
  <si>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</si>
  <si>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</si>
  <si>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</si>
  <si>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</si>
  <si>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</si>
  <si>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</si>
  <si>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</si>
  <si>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</si>
  <si>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</si>
  <si>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</si>
  <si>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</si>
  <si>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</si>
  <si>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</si>
  <si>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</si>
  <si>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</si>
  <si>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</si>
  <si>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</si>
  <si>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</si>
  <si>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</si>
  <si>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</si>
  <si>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</si>
  <si>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</si>
  <si>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</si>
  <si>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</si>
  <si>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</si>
  <si>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</si>
  <si>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</si>
  <si>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</si>
  <si>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</si>
  <si>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</si>
  <si>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</si>
  <si>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</si>
  <si>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</si>
  <si>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</si>
  <si>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</si>
  <si>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</si>
  <si>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</si>
  <si>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</si>
  <si>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</si>
  <si>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</si>
  <si>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</si>
  <si>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</si>
  <si>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</si>
  <si>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</si>
  <si>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</si>
  <si>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</si>
  <si>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</si>
  <si>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</si>
  <si>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</si>
  <si>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</si>
  <si>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</si>
  <si>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</si>
  <si>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</si>
  <si>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</si>
  <si>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</si>
  <si>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</si>
  <si>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</si>
  <si>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</si>
  <si>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</si>
  <si>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</si>
  <si>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</si>
  <si>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</si>
  <si>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</si>
  <si>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</si>
  <si>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</si>
  <si>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</si>
  <si>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</si>
  <si>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</si>
  <si>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</si>
  <si>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</si>
  <si>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</si>
  <si>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</si>
  <si>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</si>
  <si>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</si>
  <si>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</si>
  <si>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</si>
  <si>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</si>
  <si>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</si>
  <si>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</si>
  <si>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</si>
  <si>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</si>
  <si>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</si>
  <si>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</si>
  <si>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</si>
  <si>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</si>
  <si>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</si>
  <si>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</si>
  <si>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</si>
  <si>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</si>
  <si>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</si>
  <si>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</si>
  <si>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</si>
  <si>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</si>
  <si>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</si>
  <si>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</si>
  <si>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</si>
  <si>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</si>
  <si>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</si>
  <si>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</si>
  <si>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</si>
  <si>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</si>
  <si>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</si>
  <si>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</si>
  <si>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</si>
  <si>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</si>
  <si>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</si>
  <si>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</si>
  <si>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</si>
  <si>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</si>
  <si>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</si>
  <si>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</si>
  <si>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</si>
  <si>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</si>
  <si>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</si>
  <si>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</si>
  <si>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</si>
  <si>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</si>
  <si>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</si>
  <si>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</si>
  <si>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</si>
  <si>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</si>
  <si>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</si>
  <si>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</si>
  <si>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</si>
  <si>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</si>
  <si>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</si>
  <si>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</si>
  <si>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</si>
  <si>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</si>
  <si>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</si>
  <si>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</si>
  <si>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</si>
  <si>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</si>
  <si>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</si>
  <si>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</si>
  <si>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</si>
  <si>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</si>
  <si>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</si>
  <si>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</si>
  <si>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</si>
  <si>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</si>
  <si>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</si>
  <si>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</si>
  <si>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</si>
  <si>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</si>
  <si>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</si>
  <si>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</si>
  <si>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</si>
  <si>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</si>
  <si>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</si>
  <si>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</si>
  <si>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</si>
  <si>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</si>
  <si>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</si>
  <si>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</si>
  <si>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</si>
  <si>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</si>
  <si>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</si>
  <si>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</si>
  <si>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</si>
  <si>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</si>
  <si>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</si>
  <si>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</si>
  <si>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</si>
  <si>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</si>
  <si>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</si>
  <si>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</si>
  <si>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</si>
  <si>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</si>
  <si>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</si>
  <si>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</si>
  <si>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</si>
  <si>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</si>
  <si>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</si>
  <si>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</si>
  <si>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</si>
  <si>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</si>
  <si>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</si>
  <si>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</si>
  <si>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</si>
  <si>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</si>
  <si>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</si>
  <si>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</si>
  <si>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</si>
  <si>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</si>
  <si>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</si>
  <si>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</si>
  <si>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</si>
  <si>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</si>
  <si>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</si>
  <si>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</si>
  <si>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</si>
  <si>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</si>
  <si>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</si>
  <si>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</si>
  <si>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</si>
  <si>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</si>
  <si>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</si>
  <si>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</si>
  <si>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</si>
  <si>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</si>
  <si>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</si>
  <si>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</si>
  <si>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</si>
  <si>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</si>
  <si>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</si>
  <si>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</si>
  <si>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</si>
  <si>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</si>
  <si>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</si>
  <si>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</si>
  <si>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</si>
  <si>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</si>
  <si>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</si>
  <si>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</si>
  <si>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</si>
  <si>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</si>
  <si>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</si>
  <si>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</si>
  <si>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</si>
  <si>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</si>
  <si>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</si>
  <si>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</si>
  <si>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</si>
  <si>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</si>
  <si>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</si>
  <si>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</si>
  <si>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</si>
  <si>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</si>
  <si>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</si>
  <si>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</si>
  <si>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</si>
  <si>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</si>
  <si>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</si>
  <si>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</si>
  <si>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</si>
  <si>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</si>
  <si>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</si>
  <si>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</si>
  <si>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</si>
  <si>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</si>
  <si>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</si>
  <si>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</si>
  <si>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</si>
  <si>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</si>
  <si>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</si>
  <si>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</si>
  <si>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</si>
  <si>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</si>
  <si>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</si>
  <si>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</si>
  <si>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</si>
  <si>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</si>
  <si>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</si>
  <si>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</si>
  <si>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</si>
  <si>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</si>
  <si>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</si>
  <si>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</si>
  <si>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</si>
  <si>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</si>
  <si>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</si>
  <si>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</si>
  <si>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</si>
  <si>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</si>
  <si>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</si>
  <si>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</si>
  <si>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</si>
  <si>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</si>
  <si>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</si>
  <si>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</si>
  <si>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</si>
  <si>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</si>
  <si>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</si>
  <si>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</si>
  <si>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</si>
  <si>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</si>
  <si>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</si>
  <si>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</si>
  <si>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</si>
  <si>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</si>
  <si>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</si>
  <si>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</si>
  <si>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</si>
  <si>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</si>
  <si>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</si>
  <si>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</si>
  <si>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</si>
  <si>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</si>
  <si>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</si>
  <si>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</si>
  <si>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</si>
  <si>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</si>
  <si>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</si>
  <si>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</si>
  <si>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</si>
  <si>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</si>
  <si>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</si>
  <si>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</si>
  <si>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</si>
  <si>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</si>
  <si>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</si>
  <si>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</si>
  <si>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</si>
  <si>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</si>
  <si>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</si>
  <si>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</si>
  <si>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</si>
  <si>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</si>
  <si>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</si>
  <si>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</si>
  <si>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</si>
  <si>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</si>
  <si>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</si>
  <si>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</si>
  <si>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</si>
  <si>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</si>
  <si>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</si>
  <si>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</si>
  <si>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</si>
  <si>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</si>
  <si>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</si>
  <si>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</si>
  <si>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</si>
  <si>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</si>
  <si>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</si>
  <si>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</si>
  <si>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</si>
  <si>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</si>
  <si>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</si>
  <si>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</si>
  <si>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</si>
  <si>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</si>
  <si>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</si>
  <si>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</si>
  <si>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</si>
  <si>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</si>
  <si>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</si>
  <si>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</si>
  <si>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</si>
  <si>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</si>
  <si>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</si>
  <si>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</si>
  <si>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</si>
  <si>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</si>
  <si>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</si>
  <si>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</si>
  <si>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</si>
  <si>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</si>
  <si>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</si>
  <si>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</si>
  <si>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</si>
  <si>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</si>
  <si>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</si>
  <si>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</si>
  <si>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</si>
  <si>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</si>
  <si>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</si>
  <si>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</si>
  <si>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</si>
  <si>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</si>
  <si>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</si>
  <si>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</si>
  <si>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</si>
  <si>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</si>
  <si>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</si>
  <si>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</si>
  <si>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</si>
  <si>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</si>
  <si>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</si>
  <si>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</si>
  <si>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</si>
  <si>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</si>
  <si>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</si>
  <si>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</si>
  <si>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</si>
  <si>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</si>
  <si>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</si>
  <si>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</si>
  <si>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</si>
  <si>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</si>
  <si>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</si>
  <si>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</si>
  <si>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</si>
  <si>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</si>
  <si>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</si>
  <si>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</si>
  <si>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</si>
  <si>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</si>
  <si>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</si>
  <si>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</si>
  <si>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</si>
  <si>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</si>
  <si>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</si>
  <si>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</si>
  <si>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</si>
  <si>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</si>
  <si>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</si>
  <si>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</si>
  <si>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</si>
  <si>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</si>
  <si>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</si>
  <si>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</si>
  <si>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</si>
  <si>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</si>
  <si>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</si>
  <si>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</si>
  <si>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</si>
  <si>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</si>
  <si>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</si>
  <si>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</si>
  <si>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</si>
  <si>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</si>
  <si>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</si>
  <si>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</si>
  <si>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</si>
  <si>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</si>
  <si>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</si>
  <si>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</si>
  <si>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</si>
  <si>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</si>
  <si>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</si>
  <si>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</si>
  <si>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</si>
  <si>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</si>
  <si>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</si>
  <si>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</si>
  <si>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</si>
  <si>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</si>
  <si>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</si>
  <si>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</si>
  <si>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</si>
  <si>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</si>
  <si>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</si>
  <si>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</si>
  <si>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</si>
  <si>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</si>
  <si>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</si>
  <si>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</si>
  <si>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</si>
  <si>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</si>
  <si>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</si>
  <si>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</si>
  <si>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</si>
  <si>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</si>
  <si>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</si>
  <si>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</si>
  <si>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</si>
  <si>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</si>
  <si>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</si>
  <si>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</si>
  <si>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</si>
  <si>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</si>
  <si>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</si>
  <si>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11002</t>
  </si>
  <si>
    <t>ANTWERPEN</t>
  </si>
  <si>
    <t>referentietaak LNE (2017); Jaarverslag De Lijn</t>
  </si>
  <si>
    <t>waterkracht</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</si>
  <si>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</si>
  <si>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</si>
  <si>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</si>
  <si>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</si>
  <si>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</si>
  <si>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</si>
  <si>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</si>
  <si>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</si>
  <si>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</si>
  <si>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</si>
  <si>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</si>
  <si>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</si>
  <si>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</si>
  <si>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</si>
  <si>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</si>
  <si>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</si>
  <si>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</si>
  <si>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</si>
  <si>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</si>
  <si>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</si>
  <si>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</si>
  <si>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</si>
  <si>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</si>
  <si>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</si>
  <si>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</si>
  <si>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</si>
  <si>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</si>
  <si>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</si>
  <si>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</si>
  <si>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</si>
  <si>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</si>
  <si>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</si>
  <si>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WKK-0673 Noven</t>
  </si>
  <si>
    <t>Londenstraat 60 , 2000 Antwerpen</t>
  </si>
  <si>
    <t>Cornerstone International bvba</t>
  </si>
  <si>
    <t>Fazantenlaan 50 , 2610 Wilrijk</t>
  </si>
  <si>
    <t>WKK-0680 Cornerstone International</t>
  </si>
  <si>
    <t>brandstofcel</t>
  </si>
  <si>
    <t>Silvertop</t>
  </si>
  <si>
    <t>WKK-0805</t>
  </si>
  <si>
    <t>Interne verbrandingsmotor</t>
  </si>
  <si>
    <t>Jan Denucéstraat 1, 2020 Antwerpen, BE</t>
  </si>
  <si>
    <t>IVEG (via INFRAX)</t>
  </si>
  <si>
    <t>CC Nova</t>
  </si>
  <si>
    <t>WKK-0865</t>
  </si>
  <si>
    <t>Brandstofcel</t>
  </si>
  <si>
    <t>Schijfstraat 105</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</si>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</sst>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3843408.1186019899</c:v>
                </c:pt>
                <c:pt idx="1">
                  <c:v>2827266.8840603568</c:v>
                </c:pt>
                <c:pt idx="2">
                  <c:v>27996.337199999998</c:v>
                </c:pt>
                <c:pt idx="3">
                  <c:v>113514.55265863528</c:v>
                </c:pt>
                <c:pt idx="4">
                  <c:v>753927.60677503736</c:v>
                </c:pt>
                <c:pt idx="5">
                  <c:v>2992473.6911756718</c:v>
                </c:pt>
                <c:pt idx="6">
                  <c:v>80147.787474061624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3843408.1186019899</c:v>
                </c:pt>
                <c:pt idx="1">
                  <c:v>2827266.8840603568</c:v>
                </c:pt>
                <c:pt idx="2">
                  <c:v>27996.337199999998</c:v>
                </c:pt>
                <c:pt idx="3">
                  <c:v>113514.55265863528</c:v>
                </c:pt>
                <c:pt idx="4">
                  <c:v>753927.60677503736</c:v>
                </c:pt>
                <c:pt idx="5">
                  <c:v>2992473.6911756718</c:v>
                </c:pt>
                <c:pt idx="6">
                  <c:v>80147.787474061624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766101.42189245217</c:v>
                </c:pt>
                <c:pt idx="1">
                  <c:v>571041.25005629717</c:v>
                </c:pt>
                <c:pt idx="2">
                  <c:v>5412.1940713055965</c:v>
                </c:pt>
                <c:pt idx="3">
                  <c:v>28097.16675212239</c:v>
                </c:pt>
                <c:pt idx="4">
                  <c:v>150223.8201131378</c:v>
                </c:pt>
                <c:pt idx="5">
                  <c:v>745297.00610267173</c:v>
                </c:pt>
                <c:pt idx="6">
                  <c:v>18242.644194833025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766101.42189245217</c:v>
                </c:pt>
                <c:pt idx="1">
                  <c:v>571041.25005629717</c:v>
                </c:pt>
                <c:pt idx="2">
                  <c:v>5412.1940713055965</c:v>
                </c:pt>
                <c:pt idx="3">
                  <c:v>28097.16675212239</c:v>
                </c:pt>
                <c:pt idx="4">
                  <c:v>150223.8201131378</c:v>
                </c:pt>
                <c:pt idx="5">
                  <c:v>745297.00610267173</c:v>
                </c:pt>
                <c:pt idx="6">
                  <c:v>18242.644194833025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11002</v>
      </c>
      <c r="B6" s="386"/>
      <c r="C6" s="387"/>
    </row>
    <row r="7" spans="1:7" s="384" customFormat="1" ht="15.75" customHeight="1">
      <c r="A7" s="388" t="str">
        <f>txtMunicipality</f>
        <v>ANTWERPEN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1163832.369625472</v>
      </c>
      <c r="D10" s="682">
        <f ca="1">tertiair!C16</f>
        <v>11456.202702702702</v>
      </c>
      <c r="E10" s="682">
        <f ca="1">tertiair!D16</f>
        <v>1520610.355413906</v>
      </c>
      <c r="F10" s="682">
        <f>tertiair!E16</f>
        <v>2285.1662033554117</v>
      </c>
      <c r="G10" s="682">
        <f ca="1">tertiair!F16</f>
        <v>153780.2568200411</v>
      </c>
      <c r="H10" s="682">
        <f>tertiair!G16</f>
        <v>0</v>
      </c>
      <c r="I10" s="682">
        <f>tertiair!H16</f>
        <v>0</v>
      </c>
      <c r="J10" s="682">
        <f>tertiair!I16</f>
        <v>0</v>
      </c>
      <c r="K10" s="682">
        <f>tertiair!J16</f>
        <v>0.93510363211784708</v>
      </c>
      <c r="L10" s="682">
        <f>tertiair!K16</f>
        <v>0</v>
      </c>
      <c r="M10" s="682">
        <f ca="1">tertiair!L16</f>
        <v>0</v>
      </c>
      <c r="N10" s="682">
        <f>tertiair!M16</f>
        <v>0</v>
      </c>
      <c r="O10" s="682">
        <f ca="1">tertiair!N16</f>
        <v>0</v>
      </c>
      <c r="P10" s="682">
        <f>tertiair!O16</f>
        <v>93.047954550981942</v>
      </c>
      <c r="Q10" s="683">
        <f>tertiair!P16</f>
        <v>3204.8874366961959</v>
      </c>
      <c r="R10" s="685">
        <f ca="1">SUM(C10:Q10)</f>
        <v>2855263.2212603567</v>
      </c>
      <c r="S10" s="67"/>
    </row>
    <row r="11" spans="1:19" s="445" customFormat="1">
      <c r="A11" s="803" t="s">
        <v>220</v>
      </c>
      <c r="B11" s="808"/>
      <c r="C11" s="682">
        <f>huishoudens!B8</f>
        <v>624153.69534922682</v>
      </c>
      <c r="D11" s="682">
        <f>huishoudens!C8</f>
        <v>0</v>
      </c>
      <c r="E11" s="682">
        <f>huishoudens!D8</f>
        <v>2004034.0529685041</v>
      </c>
      <c r="F11" s="682">
        <f>huishoudens!E8</f>
        <v>38002.654348763841</v>
      </c>
      <c r="G11" s="682">
        <f>huishoudens!F8</f>
        <v>863187.75357291766</v>
      </c>
      <c r="H11" s="682">
        <f>huishoudens!G8</f>
        <v>0</v>
      </c>
      <c r="I11" s="682">
        <f>huishoudens!H8</f>
        <v>0</v>
      </c>
      <c r="J11" s="682">
        <f>huishoudens!I8</f>
        <v>0</v>
      </c>
      <c r="K11" s="682">
        <f>huishoudens!J8</f>
        <v>4318.3826946302097</v>
      </c>
      <c r="L11" s="682">
        <f>huishoudens!K8</f>
        <v>0</v>
      </c>
      <c r="M11" s="682">
        <f>huishoudens!L8</f>
        <v>0</v>
      </c>
      <c r="N11" s="682">
        <f>huishoudens!M8</f>
        <v>0</v>
      </c>
      <c r="O11" s="682">
        <f>huishoudens!N8</f>
        <v>305443.92965246079</v>
      </c>
      <c r="P11" s="682">
        <f>huishoudens!O8</f>
        <v>2529.5467297184655</v>
      </c>
      <c r="Q11" s="683">
        <f>huishoudens!P8</f>
        <v>1738.1032857680286</v>
      </c>
      <c r="R11" s="685">
        <f>SUM(C11:Q11)</f>
        <v>3843408.1186019899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358169.09601998818</v>
      </c>
      <c r="D13" s="682">
        <f>industrie!C18</f>
        <v>5181.4285714285716</v>
      </c>
      <c r="E13" s="682">
        <f>industrie!D18</f>
        <v>322887.00888808654</v>
      </c>
      <c r="F13" s="682">
        <f>industrie!E18</f>
        <v>1655.7400712265649</v>
      </c>
      <c r="G13" s="682">
        <f>industrie!F18</f>
        <v>52823.617107845021</v>
      </c>
      <c r="H13" s="682">
        <f>industrie!G18</f>
        <v>0</v>
      </c>
      <c r="I13" s="682">
        <f>industrie!H18</f>
        <v>0</v>
      </c>
      <c r="J13" s="682">
        <f>industrie!I18</f>
        <v>0</v>
      </c>
      <c r="K13" s="682">
        <f>industrie!J18</f>
        <v>139.05254683401807</v>
      </c>
      <c r="L13" s="682">
        <f>industrie!K18</f>
        <v>0</v>
      </c>
      <c r="M13" s="682">
        <f>industrie!L18</f>
        <v>0</v>
      </c>
      <c r="N13" s="682">
        <f>industrie!M18</f>
        <v>0</v>
      </c>
      <c r="O13" s="682">
        <f>industrie!N18</f>
        <v>13071.663569628367</v>
      </c>
      <c r="P13" s="682">
        <f>industrie!O18</f>
        <v>0</v>
      </c>
      <c r="Q13" s="683">
        <f>industrie!P18</f>
        <v>0</v>
      </c>
      <c r="R13" s="685">
        <f>SUM(C13:Q13)</f>
        <v>753927.60677503736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2146155.1609946871</v>
      </c>
      <c r="D16" s="718">
        <f t="shared" ref="D16:R16" ca="1" si="0">SUM(D9:D15)</f>
        <v>16637.631274131272</v>
      </c>
      <c r="E16" s="718">
        <f t="shared" ca="1" si="0"/>
        <v>3847531.4172704965</v>
      </c>
      <c r="F16" s="718">
        <f t="shared" si="0"/>
        <v>41943.560623345817</v>
      </c>
      <c r="G16" s="718">
        <f t="shared" ca="1" si="0"/>
        <v>1069791.6275008037</v>
      </c>
      <c r="H16" s="718">
        <f t="shared" si="0"/>
        <v>0</v>
      </c>
      <c r="I16" s="718">
        <f t="shared" si="0"/>
        <v>0</v>
      </c>
      <c r="J16" s="718">
        <f t="shared" si="0"/>
        <v>0</v>
      </c>
      <c r="K16" s="718">
        <f t="shared" si="0"/>
        <v>4458.3703450963458</v>
      </c>
      <c r="L16" s="718">
        <f t="shared" si="0"/>
        <v>0</v>
      </c>
      <c r="M16" s="718">
        <f t="shared" ca="1" si="0"/>
        <v>0</v>
      </c>
      <c r="N16" s="718">
        <f t="shared" si="0"/>
        <v>0</v>
      </c>
      <c r="O16" s="718">
        <f t="shared" ca="1" si="0"/>
        <v>318515.59322208917</v>
      </c>
      <c r="P16" s="718">
        <f t="shared" si="0"/>
        <v>2622.5946842694475</v>
      </c>
      <c r="Q16" s="718">
        <f t="shared" si="0"/>
        <v>4942.9907224642247</v>
      </c>
      <c r="R16" s="718">
        <f t="shared" ca="1" si="0"/>
        <v>7452598.9466373837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34114.795770805387</v>
      </c>
      <c r="D19" s="682">
        <f>transport!C54</f>
        <v>0</v>
      </c>
      <c r="E19" s="682">
        <f>transport!D54</f>
        <v>0</v>
      </c>
      <c r="F19" s="682">
        <f>transport!E54</f>
        <v>0</v>
      </c>
      <c r="G19" s="682">
        <f>transport!F54</f>
        <v>0</v>
      </c>
      <c r="H19" s="682">
        <f>transport!G54</f>
        <v>43624.128660784125</v>
      </c>
      <c r="I19" s="682">
        <f>transport!H54</f>
        <v>0</v>
      </c>
      <c r="J19" s="682">
        <f>transport!I54</f>
        <v>0</v>
      </c>
      <c r="K19" s="682">
        <f>transport!J54</f>
        <v>0</v>
      </c>
      <c r="L19" s="682">
        <f>transport!K54</f>
        <v>0</v>
      </c>
      <c r="M19" s="682">
        <f>transport!L54</f>
        <v>0</v>
      </c>
      <c r="N19" s="682">
        <f>transport!M54</f>
        <v>2408.8630424721023</v>
      </c>
      <c r="O19" s="682">
        <f>transport!N54</f>
        <v>0</v>
      </c>
      <c r="P19" s="682">
        <f>transport!O54</f>
        <v>0</v>
      </c>
      <c r="Q19" s="683">
        <f>transport!P54</f>
        <v>0</v>
      </c>
      <c r="R19" s="685">
        <f>SUM(C19:Q19)</f>
        <v>80147.787474061624</v>
      </c>
      <c r="S19" s="67"/>
    </row>
    <row r="20" spans="1:19" s="445" customFormat="1">
      <c r="A20" s="803" t="s">
        <v>302</v>
      </c>
      <c r="B20" s="808"/>
      <c r="C20" s="682">
        <f>transport!B14</f>
        <v>4823.1429090284009</v>
      </c>
      <c r="D20" s="682">
        <f>transport!C14</f>
        <v>0</v>
      </c>
      <c r="E20" s="682">
        <f>transport!D14</f>
        <v>7748.4404968987828</v>
      </c>
      <c r="F20" s="682">
        <f>transport!E14</f>
        <v>4765.7607898273955</v>
      </c>
      <c r="G20" s="682">
        <f>transport!F14</f>
        <v>0</v>
      </c>
      <c r="H20" s="682">
        <f>transport!G14</f>
        <v>2327678.3734980584</v>
      </c>
      <c r="I20" s="682">
        <f>transport!H14</f>
        <v>482841.23564552673</v>
      </c>
      <c r="J20" s="682">
        <f>transport!I14</f>
        <v>0</v>
      </c>
      <c r="K20" s="682">
        <f>transport!J14</f>
        <v>0</v>
      </c>
      <c r="L20" s="682">
        <f>transport!K14</f>
        <v>0</v>
      </c>
      <c r="M20" s="682">
        <f>transport!L14</f>
        <v>0</v>
      </c>
      <c r="N20" s="682">
        <f>transport!M14</f>
        <v>164616.73783633186</v>
      </c>
      <c r="O20" s="682">
        <f>transport!N14</f>
        <v>0</v>
      </c>
      <c r="P20" s="682">
        <f>transport!O14</f>
        <v>0</v>
      </c>
      <c r="Q20" s="683">
        <f>transport!P14</f>
        <v>0</v>
      </c>
      <c r="R20" s="685">
        <f>SUM(C20:Q20)</f>
        <v>2992473.6911756718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38937.938679833787</v>
      </c>
      <c r="D22" s="806">
        <f t="shared" ref="D22:R22" si="1">SUM(D18:D21)</f>
        <v>0</v>
      </c>
      <c r="E22" s="806">
        <f t="shared" si="1"/>
        <v>7748.4404968987828</v>
      </c>
      <c r="F22" s="806">
        <f t="shared" si="1"/>
        <v>4765.7607898273955</v>
      </c>
      <c r="G22" s="806">
        <f t="shared" si="1"/>
        <v>0</v>
      </c>
      <c r="H22" s="806">
        <f t="shared" si="1"/>
        <v>2371302.5021588425</v>
      </c>
      <c r="I22" s="806">
        <f t="shared" si="1"/>
        <v>482841.23564552673</v>
      </c>
      <c r="J22" s="806">
        <f t="shared" si="1"/>
        <v>0</v>
      </c>
      <c r="K22" s="806">
        <f t="shared" si="1"/>
        <v>0</v>
      </c>
      <c r="L22" s="806">
        <f t="shared" si="1"/>
        <v>0</v>
      </c>
      <c r="M22" s="806">
        <f t="shared" si="1"/>
        <v>0</v>
      </c>
      <c r="N22" s="806">
        <f t="shared" si="1"/>
        <v>167025.60087880396</v>
      </c>
      <c r="O22" s="806">
        <f t="shared" si="1"/>
        <v>0</v>
      </c>
      <c r="P22" s="806">
        <f t="shared" si="1"/>
        <v>0</v>
      </c>
      <c r="Q22" s="806">
        <f t="shared" si="1"/>
        <v>0</v>
      </c>
      <c r="R22" s="806">
        <f t="shared" si="1"/>
        <v>3072621.4786497336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21261.148114845601</v>
      </c>
      <c r="D24" s="682">
        <f>+landbouw!C8</f>
        <v>0</v>
      </c>
      <c r="E24" s="682">
        <f>+landbouw!D8</f>
        <v>16899.974837330345</v>
      </c>
      <c r="F24" s="682">
        <f>+landbouw!E8</f>
        <v>792.8932464154808</v>
      </c>
      <c r="G24" s="682">
        <f>+landbouw!F8</f>
        <v>68979.380115583102</v>
      </c>
      <c r="H24" s="682">
        <f>+landbouw!G8</f>
        <v>0</v>
      </c>
      <c r="I24" s="682">
        <f>+landbouw!H8</f>
        <v>0</v>
      </c>
      <c r="J24" s="682">
        <f>+landbouw!I8</f>
        <v>0</v>
      </c>
      <c r="K24" s="682">
        <f>+landbouw!J8</f>
        <v>5581.1563444607673</v>
      </c>
      <c r="L24" s="682">
        <f>+landbouw!K8</f>
        <v>0</v>
      </c>
      <c r="M24" s="682">
        <f>+landbouw!L8</f>
        <v>0</v>
      </c>
      <c r="N24" s="682">
        <f>+landbouw!M8</f>
        <v>0</v>
      </c>
      <c r="O24" s="682">
        <f>+landbouw!N8</f>
        <v>0</v>
      </c>
      <c r="P24" s="682">
        <f>+landbouw!O8</f>
        <v>0</v>
      </c>
      <c r="Q24" s="683">
        <f>+landbouw!P8</f>
        <v>0</v>
      </c>
      <c r="R24" s="685">
        <f>SUM(C24:Q24)</f>
        <v>113514.55265863528</v>
      </c>
      <c r="S24" s="67"/>
    </row>
    <row r="25" spans="1:19" s="445" customFormat="1" ht="15" thickBot="1">
      <c r="A25" s="825" t="s">
        <v>703</v>
      </c>
      <c r="B25" s="938"/>
      <c r="C25" s="939">
        <f>IF(Onbekend_ele_kWh="---",0,Onbekend_ele_kWh)/1000+IF(REST_rest_ele_kWh="---",0,REST_rest_ele_kWh)/1000</f>
        <v>48715.229556416802</v>
      </c>
      <c r="D25" s="939"/>
      <c r="E25" s="939">
        <f>IF(onbekend_gas_kWh="---",0,onbekend_gas_kWh)/1000+IF(REST_rest_gas_kWh="---",0,REST_rest_gas_kWh)/1000</f>
        <v>178126.97741341399</v>
      </c>
      <c r="F25" s="939"/>
      <c r="G25" s="939"/>
      <c r="H25" s="939"/>
      <c r="I25" s="939"/>
      <c r="J25" s="939"/>
      <c r="K25" s="939"/>
      <c r="L25" s="939"/>
      <c r="M25" s="939"/>
      <c r="N25" s="939"/>
      <c r="O25" s="939"/>
      <c r="P25" s="939"/>
      <c r="Q25" s="940"/>
      <c r="R25" s="685">
        <f>SUM(C25:Q25)</f>
        <v>226842.20696983079</v>
      </c>
      <c r="S25" s="67"/>
    </row>
    <row r="26" spans="1:19" s="445" customFormat="1" ht="15.75" thickBot="1">
      <c r="A26" s="690" t="s">
        <v>704</v>
      </c>
      <c r="B26" s="811"/>
      <c r="C26" s="806">
        <f>SUM(C24:C25)</f>
        <v>69976.377671262395</v>
      </c>
      <c r="D26" s="806">
        <f t="shared" ref="D26:R26" si="2">SUM(D24:D25)</f>
        <v>0</v>
      </c>
      <c r="E26" s="806">
        <f t="shared" si="2"/>
        <v>195026.95225074433</v>
      </c>
      <c r="F26" s="806">
        <f t="shared" si="2"/>
        <v>792.8932464154808</v>
      </c>
      <c r="G26" s="806">
        <f t="shared" si="2"/>
        <v>68979.380115583102</v>
      </c>
      <c r="H26" s="806">
        <f t="shared" si="2"/>
        <v>0</v>
      </c>
      <c r="I26" s="806">
        <f t="shared" si="2"/>
        <v>0</v>
      </c>
      <c r="J26" s="806">
        <f t="shared" si="2"/>
        <v>0</v>
      </c>
      <c r="K26" s="806">
        <f t="shared" si="2"/>
        <v>5581.1563444607673</v>
      </c>
      <c r="L26" s="806">
        <f t="shared" si="2"/>
        <v>0</v>
      </c>
      <c r="M26" s="806">
        <f t="shared" si="2"/>
        <v>0</v>
      </c>
      <c r="N26" s="806">
        <f t="shared" si="2"/>
        <v>0</v>
      </c>
      <c r="O26" s="806">
        <f t="shared" si="2"/>
        <v>0</v>
      </c>
      <c r="P26" s="806">
        <f t="shared" si="2"/>
        <v>0</v>
      </c>
      <c r="Q26" s="806">
        <f t="shared" si="2"/>
        <v>0</v>
      </c>
      <c r="R26" s="806">
        <f t="shared" si="2"/>
        <v>340356.7596284661</v>
      </c>
      <c r="S26" s="67"/>
    </row>
    <row r="27" spans="1:19" s="445" customFormat="1" ht="17.25" thickTop="1" thickBot="1">
      <c r="A27" s="691" t="s">
        <v>115</v>
      </c>
      <c r="B27" s="798"/>
      <c r="C27" s="692">
        <f ca="1">C22+C16+C26</f>
        <v>2255069.4773457833</v>
      </c>
      <c r="D27" s="692">
        <f t="shared" ref="D27:R27" ca="1" si="3">D22+D16+D26</f>
        <v>16637.631274131272</v>
      </c>
      <c r="E27" s="692">
        <f t="shared" ca="1" si="3"/>
        <v>4050306.8100181394</v>
      </c>
      <c r="F27" s="692">
        <f t="shared" si="3"/>
        <v>47502.214659588688</v>
      </c>
      <c r="G27" s="692">
        <f t="shared" ca="1" si="3"/>
        <v>1138771.0076163867</v>
      </c>
      <c r="H27" s="692">
        <f t="shared" si="3"/>
        <v>2371302.5021588425</v>
      </c>
      <c r="I27" s="692">
        <f t="shared" si="3"/>
        <v>482841.23564552673</v>
      </c>
      <c r="J27" s="692">
        <f t="shared" si="3"/>
        <v>0</v>
      </c>
      <c r="K27" s="692">
        <f t="shared" si="3"/>
        <v>10039.526689557113</v>
      </c>
      <c r="L27" s="692">
        <f t="shared" si="3"/>
        <v>0</v>
      </c>
      <c r="M27" s="692">
        <f t="shared" ca="1" si="3"/>
        <v>0</v>
      </c>
      <c r="N27" s="692">
        <f t="shared" si="3"/>
        <v>167025.60087880396</v>
      </c>
      <c r="O27" s="692">
        <f t="shared" ca="1" si="3"/>
        <v>318515.59322208917</v>
      </c>
      <c r="P27" s="692">
        <f t="shared" si="3"/>
        <v>2622.5946842694475</v>
      </c>
      <c r="Q27" s="692">
        <f t="shared" si="3"/>
        <v>4942.9907224642247</v>
      </c>
      <c r="R27" s="692">
        <f t="shared" ca="1" si="3"/>
        <v>10865577.184915582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224989.6693943422</v>
      </c>
      <c r="D40" s="682">
        <f ca="1">tertiair!C20</f>
        <v>2722.0906138530499</v>
      </c>
      <c r="E40" s="682">
        <f ca="1">tertiair!D20</f>
        <v>307163.29179360904</v>
      </c>
      <c r="F40" s="682">
        <f>tertiair!E20</f>
        <v>518.73272816167844</v>
      </c>
      <c r="G40" s="682">
        <f ca="1">tertiair!F20</f>
        <v>41059.32857095098</v>
      </c>
      <c r="H40" s="682">
        <f>tertiair!G20</f>
        <v>0</v>
      </c>
      <c r="I40" s="682">
        <f>tertiair!H20</f>
        <v>0</v>
      </c>
      <c r="J40" s="682">
        <f>tertiair!I20</f>
        <v>0</v>
      </c>
      <c r="K40" s="682">
        <f>tertiair!J20</f>
        <v>0.33102668576971783</v>
      </c>
      <c r="L40" s="682">
        <f>tertiair!K20</f>
        <v>0</v>
      </c>
      <c r="M40" s="682">
        <f ca="1">tertiair!L20</f>
        <v>0</v>
      </c>
      <c r="N40" s="682">
        <f>tertiair!M20</f>
        <v>0</v>
      </c>
      <c r="O40" s="682">
        <f ca="1">tertiair!N20</f>
        <v>0</v>
      </c>
      <c r="P40" s="682">
        <f>tertiair!O20</f>
        <v>0</v>
      </c>
      <c r="Q40" s="765">
        <f>tertiair!P20</f>
        <v>0</v>
      </c>
      <c r="R40" s="844">
        <f t="shared" ca="1" si="4"/>
        <v>576453.44412760274</v>
      </c>
    </row>
    <row r="41" spans="1:18">
      <c r="A41" s="816" t="s">
        <v>220</v>
      </c>
      <c r="B41" s="823"/>
      <c r="C41" s="682">
        <f ca="1">huishoudens!B12</f>
        <v>120660.10297777686</v>
      </c>
      <c r="D41" s="682">
        <f ca="1">huishoudens!C12</f>
        <v>0</v>
      </c>
      <c r="E41" s="682">
        <f>huishoudens!D12</f>
        <v>404814.87869963783</v>
      </c>
      <c r="F41" s="682">
        <f>huishoudens!E12</f>
        <v>8626.6025371693922</v>
      </c>
      <c r="G41" s="682">
        <f>huishoudens!F12</f>
        <v>230471.13020396902</v>
      </c>
      <c r="H41" s="682">
        <f>huishoudens!G12</f>
        <v>0</v>
      </c>
      <c r="I41" s="682">
        <f>huishoudens!H12</f>
        <v>0</v>
      </c>
      <c r="J41" s="682">
        <f>huishoudens!I12</f>
        <v>0</v>
      </c>
      <c r="K41" s="682">
        <f>huishoudens!J12</f>
        <v>1528.7074738990941</v>
      </c>
      <c r="L41" s="682">
        <f>huishoudens!K12</f>
        <v>0</v>
      </c>
      <c r="M41" s="682">
        <f>huishoudens!L12</f>
        <v>0</v>
      </c>
      <c r="N41" s="682">
        <f>huishoudens!M12</f>
        <v>0</v>
      </c>
      <c r="O41" s="682">
        <f>huishoudens!N12</f>
        <v>0</v>
      </c>
      <c r="P41" s="682">
        <f>huishoudens!O12</f>
        <v>0</v>
      </c>
      <c r="Q41" s="765">
        <f>huishoudens!P12</f>
        <v>0</v>
      </c>
      <c r="R41" s="844">
        <f t="shared" ca="1" si="4"/>
        <v>766101.42189245217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69240.509719402326</v>
      </c>
      <c r="D43" s="682">
        <f ca="1">industrie!C22</f>
        <v>1231.1512327997041</v>
      </c>
      <c r="E43" s="682">
        <f>industrie!D22</f>
        <v>65223.175795393487</v>
      </c>
      <c r="F43" s="682">
        <f>industrie!E22</f>
        <v>375.85299616843025</v>
      </c>
      <c r="G43" s="682">
        <f>industrie!F22</f>
        <v>14103.905767794622</v>
      </c>
      <c r="H43" s="682">
        <f>industrie!G22</f>
        <v>0</v>
      </c>
      <c r="I43" s="682">
        <f>industrie!H22</f>
        <v>0</v>
      </c>
      <c r="J43" s="682">
        <f>industrie!I22</f>
        <v>0</v>
      </c>
      <c r="K43" s="682">
        <f>industrie!J22</f>
        <v>49.224601579242396</v>
      </c>
      <c r="L43" s="682">
        <f>industrie!K22</f>
        <v>0</v>
      </c>
      <c r="M43" s="682">
        <f>industrie!L22</f>
        <v>0</v>
      </c>
      <c r="N43" s="682">
        <f>industrie!M22</f>
        <v>0</v>
      </c>
      <c r="O43" s="682">
        <f>industrie!N22</f>
        <v>0</v>
      </c>
      <c r="P43" s="682">
        <f>industrie!O22</f>
        <v>0</v>
      </c>
      <c r="Q43" s="765">
        <f>industrie!P22</f>
        <v>0</v>
      </c>
      <c r="R43" s="843">
        <f t="shared" ca="1" si="4"/>
        <v>150223.8201131378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414890.28209152143</v>
      </c>
      <c r="D46" s="718">
        <f t="shared" ref="D46:Q46" ca="1" si="5">SUM(D39:D45)</f>
        <v>3953.2418466527542</v>
      </c>
      <c r="E46" s="718">
        <f t="shared" ca="1" si="5"/>
        <v>777201.3462886404</v>
      </c>
      <c r="F46" s="718">
        <f t="shared" si="5"/>
        <v>9521.1882614995011</v>
      </c>
      <c r="G46" s="718">
        <f t="shared" ca="1" si="5"/>
        <v>285634.36454271461</v>
      </c>
      <c r="H46" s="718">
        <f t="shared" si="5"/>
        <v>0</v>
      </c>
      <c r="I46" s="718">
        <f t="shared" si="5"/>
        <v>0</v>
      </c>
      <c r="J46" s="718">
        <f t="shared" si="5"/>
        <v>0</v>
      </c>
      <c r="K46" s="718">
        <f t="shared" si="5"/>
        <v>1578.2631021641062</v>
      </c>
      <c r="L46" s="718">
        <f t="shared" si="5"/>
        <v>0</v>
      </c>
      <c r="M46" s="718">
        <f t="shared" ca="1" si="5"/>
        <v>0</v>
      </c>
      <c r="N46" s="718">
        <f t="shared" si="5"/>
        <v>0</v>
      </c>
      <c r="O46" s="718">
        <f t="shared" ca="1" si="5"/>
        <v>0</v>
      </c>
      <c r="P46" s="718">
        <f t="shared" si="5"/>
        <v>0</v>
      </c>
      <c r="Q46" s="718">
        <f t="shared" si="5"/>
        <v>0</v>
      </c>
      <c r="R46" s="718">
        <f ca="1">SUM(R39:R45)</f>
        <v>1492778.6861331929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6595.0018424036616</v>
      </c>
      <c r="D49" s="682">
        <f ca="1">transport!C58</f>
        <v>0</v>
      </c>
      <c r="E49" s="682">
        <f>transport!D58</f>
        <v>0</v>
      </c>
      <c r="F49" s="682">
        <f>transport!E58</f>
        <v>0</v>
      </c>
      <c r="G49" s="682">
        <f>transport!F58</f>
        <v>0</v>
      </c>
      <c r="H49" s="682">
        <f>transport!G58</f>
        <v>11647.642352429362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18242.644194833025</v>
      </c>
    </row>
    <row r="50" spans="1:18">
      <c r="A50" s="819" t="s">
        <v>302</v>
      </c>
      <c r="B50" s="829"/>
      <c r="C50" s="688">
        <f ca="1">transport!B18</f>
        <v>932.40002328958735</v>
      </c>
      <c r="D50" s="688">
        <f>transport!C18</f>
        <v>0</v>
      </c>
      <c r="E50" s="688">
        <f>transport!D18</f>
        <v>1565.1849803735543</v>
      </c>
      <c r="F50" s="688">
        <f>transport!E18</f>
        <v>1081.8276992908188</v>
      </c>
      <c r="G50" s="688">
        <f>transport!F18</f>
        <v>0</v>
      </c>
      <c r="H50" s="688">
        <f>transport!G18</f>
        <v>621490.12572398165</v>
      </c>
      <c r="I50" s="688">
        <f>transport!H18</f>
        <v>120227.46767573616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745297.00610267173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7527.4018656932494</v>
      </c>
      <c r="D52" s="718">
        <f t="shared" ref="D52:Q52" ca="1" si="6">SUM(D48:D51)</f>
        <v>0</v>
      </c>
      <c r="E52" s="718">
        <f t="shared" si="6"/>
        <v>1565.1849803735543</v>
      </c>
      <c r="F52" s="718">
        <f t="shared" si="6"/>
        <v>1081.8276992908188</v>
      </c>
      <c r="G52" s="718">
        <f t="shared" si="6"/>
        <v>0</v>
      </c>
      <c r="H52" s="718">
        <f t="shared" si="6"/>
        <v>633137.76807641098</v>
      </c>
      <c r="I52" s="718">
        <f t="shared" si="6"/>
        <v>120227.46767573616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763539.65029750473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4110.1612312455472</v>
      </c>
      <c r="D54" s="688">
        <f ca="1">+landbouw!C12</f>
        <v>0</v>
      </c>
      <c r="E54" s="688">
        <f>+landbouw!D12</f>
        <v>3413.7949171407299</v>
      </c>
      <c r="F54" s="688">
        <f>+landbouw!E12</f>
        <v>179.98676693631415</v>
      </c>
      <c r="G54" s="688">
        <f>+landbouw!F12</f>
        <v>18417.494490860689</v>
      </c>
      <c r="H54" s="688">
        <f>+landbouw!G12</f>
        <v>0</v>
      </c>
      <c r="I54" s="688">
        <f>+landbouw!H12</f>
        <v>0</v>
      </c>
      <c r="J54" s="688">
        <f>+landbouw!I12</f>
        <v>0</v>
      </c>
      <c r="K54" s="688">
        <f>+landbouw!J12</f>
        <v>1975.7293459391115</v>
      </c>
      <c r="L54" s="688">
        <f>+landbouw!K12</f>
        <v>0</v>
      </c>
      <c r="M54" s="688">
        <f>+landbouw!L12</f>
        <v>0</v>
      </c>
      <c r="N54" s="688">
        <f>+landbouw!M12</f>
        <v>0</v>
      </c>
      <c r="O54" s="688">
        <f>+landbouw!N12</f>
        <v>0</v>
      </c>
      <c r="P54" s="688">
        <f>+landbouw!O12</f>
        <v>0</v>
      </c>
      <c r="Q54" s="689">
        <f>+landbouw!P12</f>
        <v>0</v>
      </c>
      <c r="R54" s="717">
        <f ca="1">SUM(C54:Q54)</f>
        <v>28097.16675212239</v>
      </c>
    </row>
    <row r="55" spans="1:18" ht="15" thickBot="1">
      <c r="A55" s="819" t="s">
        <v>703</v>
      </c>
      <c r="B55" s="829"/>
      <c r="C55" s="688">
        <f ca="1">C25*'EF ele_warmte'!B12</f>
        <v>9417.5275395500739</v>
      </c>
      <c r="D55" s="688"/>
      <c r="E55" s="688">
        <f>E25*EF_CO2_aardgas</f>
        <v>35981.64943750963</v>
      </c>
      <c r="F55" s="688"/>
      <c r="G55" s="688"/>
      <c r="H55" s="688"/>
      <c r="I55" s="688"/>
      <c r="J55" s="688"/>
      <c r="K55" s="688"/>
      <c r="L55" s="688"/>
      <c r="M55" s="688"/>
      <c r="N55" s="688"/>
      <c r="O55" s="688"/>
      <c r="P55" s="688"/>
      <c r="Q55" s="689"/>
      <c r="R55" s="717">
        <f ca="1">SUM(C55:Q55)</f>
        <v>45399.176977059702</v>
      </c>
    </row>
    <row r="56" spans="1:18" ht="15.75" thickBot="1">
      <c r="A56" s="817" t="s">
        <v>704</v>
      </c>
      <c r="B56" s="830"/>
      <c r="C56" s="718">
        <f ca="1">SUM(C54:C55)</f>
        <v>13527.688770795621</v>
      </c>
      <c r="D56" s="718">
        <f t="shared" ref="D56:Q56" ca="1" si="7">SUM(D54:D55)</f>
        <v>0</v>
      </c>
      <c r="E56" s="718">
        <f t="shared" si="7"/>
        <v>39395.444354650361</v>
      </c>
      <c r="F56" s="718">
        <f t="shared" si="7"/>
        <v>179.98676693631415</v>
      </c>
      <c r="G56" s="718">
        <f t="shared" si="7"/>
        <v>18417.494490860689</v>
      </c>
      <c r="H56" s="718">
        <f t="shared" si="7"/>
        <v>0</v>
      </c>
      <c r="I56" s="718">
        <f t="shared" si="7"/>
        <v>0</v>
      </c>
      <c r="J56" s="718">
        <f t="shared" si="7"/>
        <v>0</v>
      </c>
      <c r="K56" s="718">
        <f t="shared" si="7"/>
        <v>1975.7293459391115</v>
      </c>
      <c r="L56" s="718">
        <f t="shared" si="7"/>
        <v>0</v>
      </c>
      <c r="M56" s="718">
        <f t="shared" si="7"/>
        <v>0</v>
      </c>
      <c r="N56" s="718">
        <f t="shared" si="7"/>
        <v>0</v>
      </c>
      <c r="O56" s="718">
        <f t="shared" si="7"/>
        <v>0</v>
      </c>
      <c r="P56" s="718">
        <f t="shared" si="7"/>
        <v>0</v>
      </c>
      <c r="Q56" s="719">
        <f t="shared" si="7"/>
        <v>0</v>
      </c>
      <c r="R56" s="720">
        <f ca="1">SUM(R54:R55)</f>
        <v>73496.343729182088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435945.37272801035</v>
      </c>
      <c r="D61" s="726">
        <f t="shared" ref="D61:Q61" ca="1" si="8">D46+D52+D56</f>
        <v>3953.2418466527542</v>
      </c>
      <c r="E61" s="726">
        <f t="shared" ca="1" si="8"/>
        <v>818161.97562366433</v>
      </c>
      <c r="F61" s="726">
        <f t="shared" si="8"/>
        <v>10783.002727726634</v>
      </c>
      <c r="G61" s="726">
        <f t="shared" ca="1" si="8"/>
        <v>304051.85903357528</v>
      </c>
      <c r="H61" s="726">
        <f t="shared" si="8"/>
        <v>633137.76807641098</v>
      </c>
      <c r="I61" s="726">
        <f t="shared" si="8"/>
        <v>120227.46767573616</v>
      </c>
      <c r="J61" s="726">
        <f t="shared" si="8"/>
        <v>0</v>
      </c>
      <c r="K61" s="726">
        <f t="shared" si="8"/>
        <v>3553.9924481032176</v>
      </c>
      <c r="L61" s="726">
        <f t="shared" si="8"/>
        <v>0</v>
      </c>
      <c r="M61" s="726">
        <f t="shared" ca="1" si="8"/>
        <v>0</v>
      </c>
      <c r="N61" s="726">
        <f t="shared" si="8"/>
        <v>0</v>
      </c>
      <c r="O61" s="726">
        <f t="shared" ca="1" si="8"/>
        <v>0</v>
      </c>
      <c r="P61" s="726">
        <f t="shared" si="8"/>
        <v>0</v>
      </c>
      <c r="Q61" s="726">
        <f t="shared" si="8"/>
        <v>0</v>
      </c>
      <c r="R61" s="726">
        <f ca="1">R46+R52+R56</f>
        <v>2329814.6801598798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0.1933179341512431</v>
      </c>
      <c r="D63" s="772">
        <f t="shared" ca="1" si="9"/>
        <v>0.2376084540832073</v>
      </c>
      <c r="E63" s="964">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194060.80539618534</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69511.907154830056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11646.25</v>
      </c>
      <c r="D76" s="947">
        <f>'lokale energieproductie'!C8</f>
        <v>13699.244843398772</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2767.2474583665521</v>
      </c>
      <c r="R76" s="846">
        <v>0</v>
      </c>
    </row>
    <row r="77" spans="1:18" ht="15.75" thickBot="1">
      <c r="A77" s="742" t="s">
        <v>749</v>
      </c>
      <c r="B77" s="739">
        <f>'lokale energieproductie'!B9*IFERROR(SUM(I77:O77)/SUM(D77:O77),0)</f>
        <v>19768.5</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56481.428571428572</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283341.21255101543</v>
      </c>
      <c r="C78" s="744">
        <f>SUM(C72:C77)</f>
        <v>11646.25</v>
      </c>
      <c r="D78" s="745">
        <f t="shared" ref="D78:H78" si="10">SUM(D76:D77)</f>
        <v>13699.244843398772</v>
      </c>
      <c r="E78" s="745">
        <f t="shared" si="10"/>
        <v>0</v>
      </c>
      <c r="F78" s="745">
        <f t="shared" si="10"/>
        <v>0</v>
      </c>
      <c r="G78" s="745">
        <f t="shared" si="10"/>
        <v>0</v>
      </c>
      <c r="H78" s="745">
        <f t="shared" si="10"/>
        <v>0</v>
      </c>
      <c r="I78" s="745">
        <f>SUM(I76:I77)</f>
        <v>0</v>
      </c>
      <c r="J78" s="745">
        <f>SUM(J76:J77)</f>
        <v>56481.428571428572</v>
      </c>
      <c r="K78" s="745">
        <f t="shared" ref="K78:L78" si="11">SUM(K76:K77)</f>
        <v>0</v>
      </c>
      <c r="L78" s="745">
        <f t="shared" si="11"/>
        <v>0</v>
      </c>
      <c r="M78" s="745">
        <f>SUM(M76:M77)</f>
        <v>0</v>
      </c>
      <c r="N78" s="745">
        <f>SUM(N76:N77)</f>
        <v>0</v>
      </c>
      <c r="O78" s="854">
        <f>SUM(O76:O77)</f>
        <v>0</v>
      </c>
      <c r="P78" s="746">
        <v>0</v>
      </c>
      <c r="Q78" s="746">
        <f>SUM(Q76:Q77)</f>
        <v>2767.2474583665521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16637.631274131276</v>
      </c>
      <c r="D87" s="768">
        <f>'lokale energieproductie'!C17</f>
        <v>19570.504191350265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3953.2418466527538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16637.631274131276</v>
      </c>
      <c r="D90" s="744">
        <f t="shared" ref="D90:H90" si="12">SUM(D87:D89)</f>
        <v>19570.504191350265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3953.2418466527538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624153.69534922682</v>
      </c>
      <c r="C4" s="449">
        <f>huishoudens!C8</f>
        <v>0</v>
      </c>
      <c r="D4" s="449">
        <f>huishoudens!D8</f>
        <v>2004034.0529685041</v>
      </c>
      <c r="E4" s="449">
        <f>huishoudens!E8</f>
        <v>38002.654348763841</v>
      </c>
      <c r="F4" s="449">
        <f>huishoudens!F8</f>
        <v>863187.75357291766</v>
      </c>
      <c r="G4" s="449">
        <f>huishoudens!G8</f>
        <v>0</v>
      </c>
      <c r="H4" s="449">
        <f>huishoudens!H8</f>
        <v>0</v>
      </c>
      <c r="I4" s="449">
        <f>huishoudens!I8</f>
        <v>0</v>
      </c>
      <c r="J4" s="449">
        <f>huishoudens!J8</f>
        <v>4318.3826946302097</v>
      </c>
      <c r="K4" s="449">
        <f>huishoudens!K8</f>
        <v>0</v>
      </c>
      <c r="L4" s="449">
        <f>huishoudens!L8</f>
        <v>0</v>
      </c>
      <c r="M4" s="449">
        <f>huishoudens!M8</f>
        <v>0</v>
      </c>
      <c r="N4" s="449">
        <f>huishoudens!N8</f>
        <v>305443.92965246079</v>
      </c>
      <c r="O4" s="449">
        <f>huishoudens!O8</f>
        <v>2529.5467297184655</v>
      </c>
      <c r="P4" s="450">
        <f>huishoudens!P8</f>
        <v>1738.1032857680286</v>
      </c>
      <c r="Q4" s="451">
        <f>SUM(B4:P4)</f>
        <v>3843408.1186019899</v>
      </c>
    </row>
    <row r="5" spans="1:17">
      <c r="A5" s="448" t="s">
        <v>155</v>
      </c>
      <c r="B5" s="449">
        <f ca="1">tertiair!B16</f>
        <v>1135836.032425472</v>
      </c>
      <c r="C5" s="449">
        <f ca="1">tertiair!C16</f>
        <v>11456.202702702702</v>
      </c>
      <c r="D5" s="449">
        <f ca="1">tertiair!D16</f>
        <v>1520610.355413906</v>
      </c>
      <c r="E5" s="449">
        <f>tertiair!E16</f>
        <v>2285.1662033554117</v>
      </c>
      <c r="F5" s="449">
        <f ca="1">tertiair!F16</f>
        <v>153780.2568200411</v>
      </c>
      <c r="G5" s="449">
        <f>tertiair!G16</f>
        <v>0</v>
      </c>
      <c r="H5" s="449">
        <f>tertiair!H16</f>
        <v>0</v>
      </c>
      <c r="I5" s="449">
        <f>tertiair!I16</f>
        <v>0</v>
      </c>
      <c r="J5" s="449">
        <f>tertiair!J16</f>
        <v>0.93510363211784708</v>
      </c>
      <c r="K5" s="449">
        <f>tertiair!K16</f>
        <v>0</v>
      </c>
      <c r="L5" s="449">
        <f ca="1">tertiair!L16</f>
        <v>0</v>
      </c>
      <c r="M5" s="449">
        <f>tertiair!M16</f>
        <v>0</v>
      </c>
      <c r="N5" s="449">
        <f ca="1">tertiair!N16</f>
        <v>0</v>
      </c>
      <c r="O5" s="449">
        <f>tertiair!O16</f>
        <v>93.047954550981942</v>
      </c>
      <c r="P5" s="450">
        <f>tertiair!P16</f>
        <v>3204.8874366961959</v>
      </c>
      <c r="Q5" s="448">
        <f t="shared" ref="Q5:Q14" ca="1" si="0">SUM(B5:P5)</f>
        <v>2827266.8840603568</v>
      </c>
    </row>
    <row r="6" spans="1:17">
      <c r="A6" s="448" t="s">
        <v>193</v>
      </c>
      <c r="B6" s="449">
        <f>'openbare verlichting'!B8</f>
        <v>27996.337199999998</v>
      </c>
      <c r="C6" s="449"/>
      <c r="D6" s="449"/>
      <c r="E6" s="449"/>
      <c r="F6" s="449"/>
      <c r="G6" s="449"/>
      <c r="H6" s="449"/>
      <c r="I6" s="449"/>
      <c r="J6" s="449"/>
      <c r="K6" s="449"/>
      <c r="L6" s="449"/>
      <c r="M6" s="449"/>
      <c r="N6" s="449"/>
      <c r="O6" s="449"/>
      <c r="P6" s="450"/>
      <c r="Q6" s="448">
        <f t="shared" si="0"/>
        <v>27996.337199999998</v>
      </c>
    </row>
    <row r="7" spans="1:17">
      <c r="A7" s="448" t="s">
        <v>111</v>
      </c>
      <c r="B7" s="449">
        <f>landbouw!B8</f>
        <v>21261.148114845601</v>
      </c>
      <c r="C7" s="449">
        <f>landbouw!C8</f>
        <v>0</v>
      </c>
      <c r="D7" s="449">
        <f>landbouw!D8</f>
        <v>16899.974837330345</v>
      </c>
      <c r="E7" s="449">
        <f>landbouw!E8</f>
        <v>792.8932464154808</v>
      </c>
      <c r="F7" s="449">
        <f>landbouw!F8</f>
        <v>68979.380115583102</v>
      </c>
      <c r="G7" s="449">
        <f>landbouw!G8</f>
        <v>0</v>
      </c>
      <c r="H7" s="449">
        <f>landbouw!H8</f>
        <v>0</v>
      </c>
      <c r="I7" s="449">
        <f>landbouw!I8</f>
        <v>0</v>
      </c>
      <c r="J7" s="449">
        <f>landbouw!J8</f>
        <v>5581.1563444607673</v>
      </c>
      <c r="K7" s="449">
        <f>landbouw!K8</f>
        <v>0</v>
      </c>
      <c r="L7" s="449">
        <f>landbouw!L8</f>
        <v>0</v>
      </c>
      <c r="M7" s="449">
        <f>landbouw!M8</f>
        <v>0</v>
      </c>
      <c r="N7" s="449">
        <f>landbouw!N8</f>
        <v>0</v>
      </c>
      <c r="O7" s="449">
        <f>landbouw!O8</f>
        <v>0</v>
      </c>
      <c r="P7" s="450">
        <f>landbouw!P8</f>
        <v>0</v>
      </c>
      <c r="Q7" s="448">
        <f t="shared" si="0"/>
        <v>113514.55265863528</v>
      </c>
    </row>
    <row r="8" spans="1:17">
      <c r="A8" s="448" t="s">
        <v>618</v>
      </c>
      <c r="B8" s="449">
        <f>industrie!B18</f>
        <v>358169.09601998818</v>
      </c>
      <c r="C8" s="449">
        <f>industrie!C18</f>
        <v>5181.4285714285716</v>
      </c>
      <c r="D8" s="449">
        <f>industrie!D18</f>
        <v>322887.00888808654</v>
      </c>
      <c r="E8" s="449">
        <f>industrie!E18</f>
        <v>1655.7400712265649</v>
      </c>
      <c r="F8" s="449">
        <f>industrie!F18</f>
        <v>52823.617107845021</v>
      </c>
      <c r="G8" s="449">
        <f>industrie!G18</f>
        <v>0</v>
      </c>
      <c r="H8" s="449">
        <f>industrie!H18</f>
        <v>0</v>
      </c>
      <c r="I8" s="449">
        <f>industrie!I18</f>
        <v>0</v>
      </c>
      <c r="J8" s="449">
        <f>industrie!J18</f>
        <v>139.05254683401807</v>
      </c>
      <c r="K8" s="449">
        <f>industrie!K18</f>
        <v>0</v>
      </c>
      <c r="L8" s="449">
        <f>industrie!L18</f>
        <v>0</v>
      </c>
      <c r="M8" s="449">
        <f>industrie!M18</f>
        <v>0</v>
      </c>
      <c r="N8" s="449">
        <f>industrie!N18</f>
        <v>13071.663569628367</v>
      </c>
      <c r="O8" s="449">
        <f>industrie!O18</f>
        <v>0</v>
      </c>
      <c r="P8" s="450">
        <f>industrie!P18</f>
        <v>0</v>
      </c>
      <c r="Q8" s="448">
        <f t="shared" si="0"/>
        <v>753927.60677503736</v>
      </c>
    </row>
    <row r="9" spans="1:17" s="454" customFormat="1">
      <c r="A9" s="452" t="s">
        <v>544</v>
      </c>
      <c r="B9" s="453">
        <f>transport!B14</f>
        <v>4823.1429090284009</v>
      </c>
      <c r="C9" s="453">
        <f>transport!C14</f>
        <v>0</v>
      </c>
      <c r="D9" s="453">
        <f>transport!D14</f>
        <v>7748.4404968987828</v>
      </c>
      <c r="E9" s="453">
        <f>transport!E14</f>
        <v>4765.7607898273955</v>
      </c>
      <c r="F9" s="453">
        <f>transport!F14</f>
        <v>0</v>
      </c>
      <c r="G9" s="453">
        <f>transport!G14</f>
        <v>2327678.3734980584</v>
      </c>
      <c r="H9" s="453">
        <f>transport!H14</f>
        <v>482841.23564552673</v>
      </c>
      <c r="I9" s="453">
        <f>transport!I14</f>
        <v>0</v>
      </c>
      <c r="J9" s="453">
        <f>transport!J14</f>
        <v>0</v>
      </c>
      <c r="K9" s="453">
        <f>transport!K14</f>
        <v>0</v>
      </c>
      <c r="L9" s="453">
        <f>transport!L14</f>
        <v>0</v>
      </c>
      <c r="M9" s="453">
        <f>transport!M14</f>
        <v>164616.73783633186</v>
      </c>
      <c r="N9" s="453">
        <f>transport!N14</f>
        <v>0</v>
      </c>
      <c r="O9" s="453">
        <f>transport!O14</f>
        <v>0</v>
      </c>
      <c r="P9" s="453">
        <f>transport!P14</f>
        <v>0</v>
      </c>
      <c r="Q9" s="452">
        <f>SUM(B9:P9)</f>
        <v>2992473.6911756718</v>
      </c>
    </row>
    <row r="10" spans="1:17">
      <c r="A10" s="448" t="s">
        <v>534</v>
      </c>
      <c r="B10" s="449">
        <f>transport!B54</f>
        <v>34114.795770805387</v>
      </c>
      <c r="C10" s="449">
        <f>transport!C54</f>
        <v>0</v>
      </c>
      <c r="D10" s="449">
        <f>transport!D54</f>
        <v>0</v>
      </c>
      <c r="E10" s="449">
        <f>transport!E54</f>
        <v>0</v>
      </c>
      <c r="F10" s="449">
        <f>transport!F54</f>
        <v>0</v>
      </c>
      <c r="G10" s="449">
        <f>transport!G54</f>
        <v>43624.128660784125</v>
      </c>
      <c r="H10" s="449">
        <f>transport!H54</f>
        <v>0</v>
      </c>
      <c r="I10" s="449">
        <f>transport!I54</f>
        <v>0</v>
      </c>
      <c r="J10" s="449">
        <f>transport!J54</f>
        <v>0</v>
      </c>
      <c r="K10" s="449">
        <f>transport!K54</f>
        <v>0</v>
      </c>
      <c r="L10" s="449">
        <f>transport!L54</f>
        <v>0</v>
      </c>
      <c r="M10" s="449">
        <f>transport!M54</f>
        <v>2408.8630424721023</v>
      </c>
      <c r="N10" s="449">
        <f>transport!N54</f>
        <v>0</v>
      </c>
      <c r="O10" s="449">
        <f>transport!O54</f>
        <v>0</v>
      </c>
      <c r="P10" s="450">
        <f>transport!P54</f>
        <v>0</v>
      </c>
      <c r="Q10" s="448">
        <f t="shared" si="0"/>
        <v>80147.787474061624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48715.229556416802</v>
      </c>
      <c r="C14" s="456"/>
      <c r="D14" s="456">
        <f>'SEAP template'!E25</f>
        <v>178126.97741341399</v>
      </c>
      <c r="E14" s="456"/>
      <c r="F14" s="456"/>
      <c r="G14" s="456"/>
      <c r="H14" s="456"/>
      <c r="I14" s="456"/>
      <c r="J14" s="456"/>
      <c r="K14" s="456"/>
      <c r="L14" s="456"/>
      <c r="M14" s="456"/>
      <c r="N14" s="456"/>
      <c r="O14" s="456"/>
      <c r="P14" s="457"/>
      <c r="Q14" s="448">
        <f t="shared" si="0"/>
        <v>226842.20696983079</v>
      </c>
    </row>
    <row r="15" spans="1:17" s="460" customFormat="1">
      <c r="A15" s="458" t="s">
        <v>538</v>
      </c>
      <c r="B15" s="459">
        <f ca="1">SUM(B4:B14)</f>
        <v>2255069.4773457828</v>
      </c>
      <c r="C15" s="459">
        <f t="shared" ref="C15:Q15" ca="1" si="1">SUM(C4:C14)</f>
        <v>16637.631274131272</v>
      </c>
      <c r="D15" s="459">
        <f t="shared" ca="1" si="1"/>
        <v>4050306.8100181394</v>
      </c>
      <c r="E15" s="459">
        <f t="shared" si="1"/>
        <v>47502.214659588688</v>
      </c>
      <c r="F15" s="459">
        <f t="shared" ca="1" si="1"/>
        <v>1138771.0076163867</v>
      </c>
      <c r="G15" s="459">
        <f t="shared" si="1"/>
        <v>2371302.5021588425</v>
      </c>
      <c r="H15" s="459">
        <f t="shared" si="1"/>
        <v>482841.23564552673</v>
      </c>
      <c r="I15" s="459">
        <f t="shared" si="1"/>
        <v>0</v>
      </c>
      <c r="J15" s="459">
        <f t="shared" si="1"/>
        <v>10039.526689557113</v>
      </c>
      <c r="K15" s="459">
        <f t="shared" si="1"/>
        <v>0</v>
      </c>
      <c r="L15" s="459">
        <f t="shared" ca="1" si="1"/>
        <v>0</v>
      </c>
      <c r="M15" s="459">
        <f t="shared" si="1"/>
        <v>167025.60087880396</v>
      </c>
      <c r="N15" s="459">
        <f t="shared" ca="1" si="1"/>
        <v>318515.59322208917</v>
      </c>
      <c r="O15" s="459">
        <f t="shared" si="1"/>
        <v>2622.5946842694475</v>
      </c>
      <c r="P15" s="459">
        <f t="shared" si="1"/>
        <v>4942.9907224642247</v>
      </c>
      <c r="Q15" s="459">
        <f t="shared" ca="1" si="1"/>
        <v>10865577.184915584</v>
      </c>
    </row>
    <row r="17" spans="1:17">
      <c r="A17" s="461" t="s">
        <v>539</v>
      </c>
      <c r="B17" s="777">
        <f ca="1">huishoudens!B10</f>
        <v>0.19331793415124307</v>
      </c>
      <c r="C17" s="777">
        <f ca="1">huishoudens!C10</f>
        <v>0.23760845408320727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120660.10297777686</v>
      </c>
      <c r="C22" s="449">
        <f t="shared" ref="C22:C32" ca="1" si="3">C4*$C$17</f>
        <v>0</v>
      </c>
      <c r="D22" s="449">
        <f t="shared" ref="D22:D32" si="4">D4*$D$17</f>
        <v>404814.87869963783</v>
      </c>
      <c r="E22" s="449">
        <f t="shared" ref="E22:E32" si="5">E4*$E$17</f>
        <v>8626.6025371693922</v>
      </c>
      <c r="F22" s="449">
        <f t="shared" ref="F22:F32" si="6">F4*$F$17</f>
        <v>230471.13020396902</v>
      </c>
      <c r="G22" s="449">
        <f t="shared" ref="G22:G32" si="7">G4*$G$17</f>
        <v>0</v>
      </c>
      <c r="H22" s="449">
        <f t="shared" ref="H22:H32" si="8">H4*$H$17</f>
        <v>0</v>
      </c>
      <c r="I22" s="449">
        <f t="shared" ref="I22:I32" si="9">I4*$I$17</f>
        <v>0</v>
      </c>
      <c r="J22" s="449">
        <f t="shared" ref="J22:J32" si="10">J4*$J$17</f>
        <v>1528.7074738990941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766101.42189245217</v>
      </c>
    </row>
    <row r="23" spans="1:17">
      <c r="A23" s="448" t="s">
        <v>155</v>
      </c>
      <c r="B23" s="449">
        <f t="shared" ca="1" si="2"/>
        <v>219577.4753230366</v>
      </c>
      <c r="C23" s="449">
        <f t="shared" ca="1" si="3"/>
        <v>2722.0906138530499</v>
      </c>
      <c r="D23" s="449">
        <f t="shared" ca="1" si="4"/>
        <v>307163.29179360904</v>
      </c>
      <c r="E23" s="449">
        <f t="shared" si="5"/>
        <v>518.73272816167844</v>
      </c>
      <c r="F23" s="449">
        <f t="shared" ca="1" si="6"/>
        <v>41059.32857095098</v>
      </c>
      <c r="G23" s="449">
        <f t="shared" si="7"/>
        <v>0</v>
      </c>
      <c r="H23" s="449">
        <f t="shared" si="8"/>
        <v>0</v>
      </c>
      <c r="I23" s="449">
        <f t="shared" si="9"/>
        <v>0</v>
      </c>
      <c r="J23" s="449">
        <f t="shared" si="10"/>
        <v>0.33102668576971783</v>
      </c>
      <c r="K23" s="449">
        <f t="shared" si="11"/>
        <v>0</v>
      </c>
      <c r="L23" s="449">
        <f t="shared" ca="1" si="12"/>
        <v>0</v>
      </c>
      <c r="M23" s="449">
        <f t="shared" si="13"/>
        <v>0</v>
      </c>
      <c r="N23" s="449">
        <f t="shared" ca="1" si="14"/>
        <v>0</v>
      </c>
      <c r="O23" s="449">
        <f t="shared" si="15"/>
        <v>0</v>
      </c>
      <c r="P23" s="450">
        <f t="shared" si="16"/>
        <v>0</v>
      </c>
      <c r="Q23" s="448">
        <f t="shared" ref="Q23:Q31" ca="1" si="17">SUM(B23:P23)</f>
        <v>571041.25005629717</v>
      </c>
    </row>
    <row r="24" spans="1:17">
      <c r="A24" s="448" t="s">
        <v>193</v>
      </c>
      <c r="B24" s="449">
        <f t="shared" ca="1" si="2"/>
        <v>5412.1940713055965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5412.1940713055965</v>
      </c>
    </row>
    <row r="25" spans="1:17">
      <c r="A25" s="448" t="s">
        <v>111</v>
      </c>
      <c r="B25" s="449">
        <f t="shared" ca="1" si="2"/>
        <v>4110.1612312455472</v>
      </c>
      <c r="C25" s="449">
        <f t="shared" ca="1" si="3"/>
        <v>0</v>
      </c>
      <c r="D25" s="449">
        <f t="shared" si="4"/>
        <v>3413.7949171407299</v>
      </c>
      <c r="E25" s="449">
        <f t="shared" si="5"/>
        <v>179.98676693631415</v>
      </c>
      <c r="F25" s="449">
        <f t="shared" si="6"/>
        <v>18417.494490860689</v>
      </c>
      <c r="G25" s="449">
        <f t="shared" si="7"/>
        <v>0</v>
      </c>
      <c r="H25" s="449">
        <f t="shared" si="8"/>
        <v>0</v>
      </c>
      <c r="I25" s="449">
        <f t="shared" si="9"/>
        <v>0</v>
      </c>
      <c r="J25" s="449">
        <f t="shared" si="10"/>
        <v>1975.7293459391115</v>
      </c>
      <c r="K25" s="449">
        <f t="shared" si="11"/>
        <v>0</v>
      </c>
      <c r="L25" s="449">
        <f t="shared" si="12"/>
        <v>0</v>
      </c>
      <c r="M25" s="449">
        <f t="shared" si="13"/>
        <v>0</v>
      </c>
      <c r="N25" s="449">
        <f t="shared" si="14"/>
        <v>0</v>
      </c>
      <c r="O25" s="449">
        <f t="shared" si="15"/>
        <v>0</v>
      </c>
      <c r="P25" s="450">
        <f t="shared" si="16"/>
        <v>0</v>
      </c>
      <c r="Q25" s="448">
        <f t="shared" ca="1" si="17"/>
        <v>28097.16675212239</v>
      </c>
    </row>
    <row r="26" spans="1:17">
      <c r="A26" s="448" t="s">
        <v>618</v>
      </c>
      <c r="B26" s="449">
        <f t="shared" ca="1" si="2"/>
        <v>69240.509719402326</v>
      </c>
      <c r="C26" s="449">
        <f t="shared" ca="1" si="3"/>
        <v>1231.1512327997041</v>
      </c>
      <c r="D26" s="449">
        <f t="shared" si="4"/>
        <v>65223.175795393487</v>
      </c>
      <c r="E26" s="449">
        <f t="shared" si="5"/>
        <v>375.85299616843025</v>
      </c>
      <c r="F26" s="449">
        <f t="shared" si="6"/>
        <v>14103.905767794622</v>
      </c>
      <c r="G26" s="449">
        <f t="shared" si="7"/>
        <v>0</v>
      </c>
      <c r="H26" s="449">
        <f t="shared" si="8"/>
        <v>0</v>
      </c>
      <c r="I26" s="449">
        <f t="shared" si="9"/>
        <v>0</v>
      </c>
      <c r="J26" s="449">
        <f t="shared" si="10"/>
        <v>49.224601579242396</v>
      </c>
      <c r="K26" s="449">
        <f t="shared" si="11"/>
        <v>0</v>
      </c>
      <c r="L26" s="449">
        <f t="shared" si="12"/>
        <v>0</v>
      </c>
      <c r="M26" s="449">
        <f t="shared" si="13"/>
        <v>0</v>
      </c>
      <c r="N26" s="449">
        <f t="shared" si="14"/>
        <v>0</v>
      </c>
      <c r="O26" s="449">
        <f t="shared" si="15"/>
        <v>0</v>
      </c>
      <c r="P26" s="450">
        <f t="shared" si="16"/>
        <v>0</v>
      </c>
      <c r="Q26" s="448">
        <f t="shared" ca="1" si="17"/>
        <v>150223.8201131378</v>
      </c>
    </row>
    <row r="27" spans="1:17" s="454" customFormat="1">
      <c r="A27" s="452" t="s">
        <v>544</v>
      </c>
      <c r="B27" s="771">
        <f t="shared" ca="1" si="2"/>
        <v>932.40002328958735</v>
      </c>
      <c r="C27" s="453">
        <f t="shared" ca="1" si="3"/>
        <v>0</v>
      </c>
      <c r="D27" s="453">
        <f t="shared" si="4"/>
        <v>1565.1849803735543</v>
      </c>
      <c r="E27" s="453">
        <f t="shared" si="5"/>
        <v>1081.8276992908188</v>
      </c>
      <c r="F27" s="453">
        <f t="shared" si="6"/>
        <v>0</v>
      </c>
      <c r="G27" s="453">
        <f t="shared" si="7"/>
        <v>621490.12572398165</v>
      </c>
      <c r="H27" s="453">
        <f t="shared" si="8"/>
        <v>120227.46767573616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745297.00610267173</v>
      </c>
    </row>
    <row r="28" spans="1:17" ht="16.5" customHeight="1">
      <c r="A28" s="448" t="s">
        <v>534</v>
      </c>
      <c r="B28" s="449">
        <f t="shared" ca="1" si="2"/>
        <v>6595.0018424036616</v>
      </c>
      <c r="C28" s="449">
        <f t="shared" ca="1" si="3"/>
        <v>0</v>
      </c>
      <c r="D28" s="449">
        <f t="shared" si="4"/>
        <v>0</v>
      </c>
      <c r="E28" s="449">
        <f t="shared" si="5"/>
        <v>0</v>
      </c>
      <c r="F28" s="449">
        <f t="shared" si="6"/>
        <v>0</v>
      </c>
      <c r="G28" s="449">
        <f t="shared" si="7"/>
        <v>11647.642352429362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18242.644194833025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9417.5275395500739</v>
      </c>
      <c r="C32" s="449">
        <f t="shared" ca="1" si="3"/>
        <v>0</v>
      </c>
      <c r="D32" s="449">
        <f t="shared" si="4"/>
        <v>35981.64943750963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45399.176977059702</v>
      </c>
    </row>
    <row r="33" spans="1:17" s="460" customFormat="1">
      <c r="A33" s="458" t="s">
        <v>538</v>
      </c>
      <c r="B33" s="459">
        <f ca="1">SUM(B22:B32)</f>
        <v>435945.37272801029</v>
      </c>
      <c r="C33" s="459">
        <f t="shared" ref="C33:Q33" ca="1" si="19">SUM(C22:C32)</f>
        <v>3953.2418466527542</v>
      </c>
      <c r="D33" s="459">
        <f t="shared" ca="1" si="19"/>
        <v>818161.97562366433</v>
      </c>
      <c r="E33" s="459">
        <f t="shared" si="19"/>
        <v>10783.002727726634</v>
      </c>
      <c r="F33" s="459">
        <f t="shared" ca="1" si="19"/>
        <v>304051.85903357528</v>
      </c>
      <c r="G33" s="459">
        <f t="shared" si="19"/>
        <v>633137.76807641098</v>
      </c>
      <c r="H33" s="459">
        <f t="shared" si="19"/>
        <v>120227.46767573616</v>
      </c>
      <c r="I33" s="459">
        <f t="shared" si="19"/>
        <v>0</v>
      </c>
      <c r="J33" s="459">
        <f t="shared" si="19"/>
        <v>3553.9924481032176</v>
      </c>
      <c r="K33" s="459">
        <f t="shared" si="19"/>
        <v>0</v>
      </c>
      <c r="L33" s="459">
        <f t="shared" ca="1" si="19"/>
        <v>0</v>
      </c>
      <c r="M33" s="459">
        <f t="shared" si="19"/>
        <v>0</v>
      </c>
      <c r="N33" s="459">
        <f t="shared" ca="1" si="19"/>
        <v>0</v>
      </c>
      <c r="O33" s="459">
        <f t="shared" si="19"/>
        <v>0</v>
      </c>
      <c r="P33" s="459">
        <f t="shared" si="19"/>
        <v>0</v>
      </c>
      <c r="Q33" s="459">
        <f t="shared" ca="1" si="19"/>
        <v>2329814.6801598798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194060.80539618534</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69511.907154830056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11646.25</v>
      </c>
      <c r="D8" s="1015">
        <f>'SEAP template'!D76</f>
        <v>13699.244843398772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2767.2474583665521</v>
      </c>
    </row>
    <row r="9" spans="1:16">
      <c r="A9" s="1021" t="s">
        <v>750</v>
      </c>
      <c r="B9" s="1015">
        <f>'SEAP template'!B77</f>
        <v>19768.5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56481.428571428572</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283341.21255101543</v>
      </c>
      <c r="C10" s="1017">
        <f>SUM(C4:C9)</f>
        <v>11646.25</v>
      </c>
      <c r="D10" s="1017">
        <f t="shared" ref="D10:H10" si="0">SUM(D8:D9)</f>
        <v>13699.244843398772</v>
      </c>
      <c r="E10" s="1017">
        <f t="shared" si="0"/>
        <v>0</v>
      </c>
      <c r="F10" s="1017">
        <f t="shared" si="0"/>
        <v>0</v>
      </c>
      <c r="G10" s="1017">
        <f t="shared" si="0"/>
        <v>0</v>
      </c>
      <c r="H10" s="1017">
        <f t="shared" si="0"/>
        <v>0</v>
      </c>
      <c r="I10" s="1017">
        <f>SUM(I8:I9)</f>
        <v>0</v>
      </c>
      <c r="J10" s="1017">
        <f>SUM(J8:J9)</f>
        <v>56481.428571428572</v>
      </c>
      <c r="K10" s="1017">
        <f t="shared" ref="K10:L10" si="1">SUM(K8:K9)</f>
        <v>0</v>
      </c>
      <c r="L10" s="1017">
        <f t="shared" si="1"/>
        <v>0</v>
      </c>
      <c r="M10" s="1017">
        <f>SUM(M8:M9)</f>
        <v>0</v>
      </c>
      <c r="N10" s="1017">
        <f>SUM(N8:N9)</f>
        <v>0</v>
      </c>
      <c r="O10" s="1017">
        <f>SUM(O8:O9)</f>
        <v>0</v>
      </c>
      <c r="P10" s="1017">
        <f>SUM(P8:P9)</f>
        <v>2767.2474583665521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0.19331793415124307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16637.631274131276</v>
      </c>
      <c r="D17" s="1016">
        <f>'SEAP template'!D87</f>
        <v>19570.504191350265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3953.2418466527538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16637.631274131276</v>
      </c>
      <c r="D20" s="1017">
        <f t="shared" ref="D20:H20" si="2">SUM(D17:D19)</f>
        <v>19570.504191350265</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3953.2418466527538</v>
      </c>
    </row>
    <row r="21" spans="1:16">
      <c r="B21" s="882"/>
    </row>
    <row r="22" spans="1:16">
      <c r="A22" s="461" t="s">
        <v>762</v>
      </c>
      <c r="B22" s="777" t="s">
        <v>760</v>
      </c>
      <c r="C22" s="777">
        <f ca="1">'EF ele_warmte'!B22</f>
        <v>0.23760845408320727</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0.19331793415124307</v>
      </c>
      <c r="C17" s="497">
        <f ca="1">'EF ele_warmte'!B22</f>
        <v>0.23760845408320727</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2</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105.07827661299004</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0.19331793415124307</v>
      </c>
      <c r="C17" s="497">
        <f ca="1">'EF ele_warmte'!B22</f>
        <v>0.23760845408320727</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0.19331793415124307</v>
      </c>
      <c r="C29" s="498">
        <f ca="1">'EF ele_warmte'!B22</f>
        <v>0.23760845408320727</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234467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1275.93</v>
      </c>
      <c r="C14" s="326"/>
      <c r="D14" s="326"/>
      <c r="E14" s="326"/>
      <c r="F14" s="326"/>
    </row>
    <row r="15" spans="1:6">
      <c r="A15" s="1307" t="s">
        <v>183</v>
      </c>
      <c r="B15" s="1308">
        <v>5</v>
      </c>
      <c r="C15" s="326"/>
      <c r="D15" s="326"/>
      <c r="E15" s="326"/>
      <c r="F15" s="326"/>
    </row>
    <row r="16" spans="1:6">
      <c r="A16" s="1307" t="s">
        <v>6</v>
      </c>
      <c r="B16" s="1308">
        <v>66</v>
      </c>
      <c r="C16" s="326"/>
      <c r="D16" s="326"/>
      <c r="E16" s="326"/>
      <c r="F16" s="326"/>
    </row>
    <row r="17" spans="1:6">
      <c r="A17" s="1307" t="s">
        <v>7</v>
      </c>
      <c r="B17" s="1308">
        <v>143</v>
      </c>
      <c r="C17" s="326"/>
      <c r="D17" s="326"/>
      <c r="E17" s="326"/>
      <c r="F17" s="326"/>
    </row>
    <row r="18" spans="1:6">
      <c r="A18" s="1307" t="s">
        <v>8</v>
      </c>
      <c r="B18" s="1308">
        <v>169</v>
      </c>
      <c r="C18" s="326"/>
      <c r="D18" s="326"/>
      <c r="E18" s="326"/>
      <c r="F18" s="326"/>
    </row>
    <row r="19" spans="1:6">
      <c r="A19" s="1307" t="s">
        <v>9</v>
      </c>
      <c r="B19" s="1308">
        <v>381</v>
      </c>
      <c r="C19" s="326"/>
      <c r="D19" s="326"/>
      <c r="E19" s="326"/>
      <c r="F19" s="326"/>
    </row>
    <row r="20" spans="1:6">
      <c r="A20" s="1307" t="s">
        <v>10</v>
      </c>
      <c r="B20" s="1308">
        <v>190</v>
      </c>
      <c r="C20" s="326"/>
      <c r="D20" s="326"/>
      <c r="E20" s="326"/>
      <c r="F20" s="326"/>
    </row>
    <row r="21" spans="1:6">
      <c r="A21" s="1307" t="s">
        <v>11</v>
      </c>
      <c r="B21" s="1308">
        <v>0</v>
      </c>
      <c r="C21" s="326"/>
      <c r="D21" s="326"/>
      <c r="E21" s="326"/>
      <c r="F21" s="326"/>
    </row>
    <row r="22" spans="1:6">
      <c r="A22" s="1307" t="s">
        <v>12</v>
      </c>
      <c r="B22" s="1308">
        <v>2</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1311</v>
      </c>
      <c r="C26" s="326"/>
      <c r="D26" s="326"/>
      <c r="E26" s="326"/>
      <c r="F26" s="326"/>
    </row>
    <row r="27" spans="1:6">
      <c r="A27" s="1307" t="s">
        <v>17</v>
      </c>
      <c r="B27" s="1308">
        <v>50</v>
      </c>
      <c r="C27" s="326"/>
      <c r="D27" s="326"/>
      <c r="E27" s="326"/>
      <c r="F27" s="326"/>
    </row>
    <row r="28" spans="1:6" s="43" customFormat="1">
      <c r="A28" s="1309" t="s">
        <v>18</v>
      </c>
      <c r="B28" s="1310">
        <v>33</v>
      </c>
      <c r="C28" s="332"/>
      <c r="D28" s="332"/>
      <c r="E28" s="332"/>
      <c r="F28" s="332"/>
    </row>
    <row r="29" spans="1:6">
      <c r="A29" s="1309" t="s">
        <v>688</v>
      </c>
      <c r="B29" s="1310">
        <v>200</v>
      </c>
      <c r="C29" s="332"/>
      <c r="D29" s="332"/>
      <c r="E29" s="332"/>
      <c r="F29" s="332"/>
    </row>
    <row r="30" spans="1:6">
      <c r="A30" s="1302" t="s">
        <v>689</v>
      </c>
      <c r="B30" s="1311">
        <v>36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4</v>
      </c>
      <c r="D35" s="1308">
        <v>180330.80411324499</v>
      </c>
      <c r="E35" s="1308">
        <v>24</v>
      </c>
      <c r="F35" s="1308">
        <v>846139.3604621602</v>
      </c>
    </row>
    <row r="36" spans="1:6">
      <c r="A36" s="1307" t="s">
        <v>24</v>
      </c>
      <c r="B36" s="1307" t="s">
        <v>26</v>
      </c>
      <c r="C36" s="1308">
        <v>63</v>
      </c>
      <c r="D36" s="1308">
        <v>213877244.023642</v>
      </c>
      <c r="E36" s="1308">
        <v>79</v>
      </c>
      <c r="F36" s="1308">
        <v>2617766.3111378499</v>
      </c>
    </row>
    <row r="37" spans="1:6">
      <c r="A37" s="1307" t="s">
        <v>24</v>
      </c>
      <c r="B37" s="1307" t="s">
        <v>27</v>
      </c>
      <c r="C37" s="1308">
        <v>0</v>
      </c>
      <c r="D37" s="1308">
        <v>0</v>
      </c>
      <c r="E37" s="1308">
        <v>8</v>
      </c>
      <c r="F37" s="1308">
        <v>15674869.478</v>
      </c>
    </row>
    <row r="38" spans="1:6">
      <c r="A38" s="1307" t="s">
        <v>24</v>
      </c>
      <c r="B38" s="1307" t="s">
        <v>28</v>
      </c>
      <c r="C38" s="1308">
        <v>1</v>
      </c>
      <c r="D38" s="1308">
        <v>160973.85097807701</v>
      </c>
      <c r="E38" s="1308">
        <v>1</v>
      </c>
      <c r="F38" s="1308">
        <v>187</v>
      </c>
    </row>
    <row r="39" spans="1:6">
      <c r="A39" s="1307" t="s">
        <v>29</v>
      </c>
      <c r="B39" s="1307" t="s">
        <v>30</v>
      </c>
      <c r="C39" s="1308">
        <v>182219</v>
      </c>
      <c r="D39" s="1308">
        <v>2219306813.9186091</v>
      </c>
      <c r="E39" s="1308">
        <v>238809</v>
      </c>
      <c r="F39" s="1308">
        <v>602422440.70874381</v>
      </c>
    </row>
    <row r="40" spans="1:6">
      <c r="A40" s="1307" t="s">
        <v>29</v>
      </c>
      <c r="B40" s="1307" t="s">
        <v>28</v>
      </c>
      <c r="C40" s="1308">
        <v>0</v>
      </c>
      <c r="D40" s="1308">
        <v>0</v>
      </c>
      <c r="E40" s="1308">
        <v>0</v>
      </c>
      <c r="F40" s="1308">
        <v>0</v>
      </c>
    </row>
    <row r="41" spans="1:6">
      <c r="A41" s="1307" t="s">
        <v>31</v>
      </c>
      <c r="B41" s="1307" t="s">
        <v>32</v>
      </c>
      <c r="C41" s="1308">
        <v>1721</v>
      </c>
      <c r="D41" s="1308">
        <v>68963392.575395808</v>
      </c>
      <c r="E41" s="1308">
        <v>3206</v>
      </c>
      <c r="F41" s="1308">
        <v>68037410.78193891</v>
      </c>
    </row>
    <row r="42" spans="1:6">
      <c r="A42" s="1307" t="s">
        <v>31</v>
      </c>
      <c r="B42" s="1307" t="s">
        <v>33</v>
      </c>
      <c r="C42" s="1308">
        <v>20</v>
      </c>
      <c r="D42" s="1308">
        <v>16601149.1130109</v>
      </c>
      <c r="E42" s="1308">
        <v>48</v>
      </c>
      <c r="F42" s="1308">
        <v>9081817.3555876501</v>
      </c>
    </row>
    <row r="43" spans="1:6">
      <c r="A43" s="1307" t="s">
        <v>31</v>
      </c>
      <c r="B43" s="1307" t="s">
        <v>34</v>
      </c>
      <c r="C43" s="1308">
        <v>5</v>
      </c>
      <c r="D43" s="1308">
        <v>69175.479152513202</v>
      </c>
      <c r="E43" s="1308">
        <v>7</v>
      </c>
      <c r="F43" s="1308">
        <v>35803.067710279298</v>
      </c>
    </row>
    <row r="44" spans="1:6">
      <c r="A44" s="1307" t="s">
        <v>31</v>
      </c>
      <c r="B44" s="1307" t="s">
        <v>35</v>
      </c>
      <c r="C44" s="1308">
        <v>189</v>
      </c>
      <c r="D44" s="1308">
        <v>44947476.319823503</v>
      </c>
      <c r="E44" s="1308">
        <v>578</v>
      </c>
      <c r="F44" s="1308">
        <v>116885103.51574901</v>
      </c>
    </row>
    <row r="45" spans="1:6">
      <c r="A45" s="1307" t="s">
        <v>31</v>
      </c>
      <c r="B45" s="1307" t="s">
        <v>36</v>
      </c>
      <c r="C45" s="1308">
        <v>12</v>
      </c>
      <c r="D45" s="1308">
        <v>14031511.3008343</v>
      </c>
      <c r="E45" s="1308">
        <v>34</v>
      </c>
      <c r="F45" s="1308">
        <v>26951568.373782787</v>
      </c>
    </row>
    <row r="46" spans="1:6">
      <c r="A46" s="1307" t="s">
        <v>31</v>
      </c>
      <c r="B46" s="1307" t="s">
        <v>37</v>
      </c>
      <c r="C46" s="1308">
        <v>0</v>
      </c>
      <c r="D46" s="1308">
        <v>0</v>
      </c>
      <c r="E46" s="1308">
        <v>7</v>
      </c>
      <c r="F46" s="1308">
        <v>1301312.8248407962</v>
      </c>
    </row>
    <row r="47" spans="1:6">
      <c r="A47" s="1307" t="s">
        <v>31</v>
      </c>
      <c r="B47" s="1307" t="s">
        <v>38</v>
      </c>
      <c r="C47" s="1308">
        <v>92</v>
      </c>
      <c r="D47" s="1308">
        <v>8283703.5637690499</v>
      </c>
      <c r="E47" s="1308">
        <v>114</v>
      </c>
      <c r="F47" s="1308">
        <v>4464177.4474193798</v>
      </c>
    </row>
    <row r="48" spans="1:6">
      <c r="A48" s="1307" t="s">
        <v>31</v>
      </c>
      <c r="B48" s="1307" t="s">
        <v>28</v>
      </c>
      <c r="C48" s="1308">
        <v>2</v>
      </c>
      <c r="D48" s="1308">
        <v>27388.409158751001</v>
      </c>
      <c r="E48" s="1308">
        <v>0</v>
      </c>
      <c r="F48" s="1308">
        <v>0</v>
      </c>
    </row>
    <row r="49" spans="1:6">
      <c r="A49" s="1307" t="s">
        <v>31</v>
      </c>
      <c r="B49" s="1307" t="s">
        <v>39</v>
      </c>
      <c r="C49" s="1308">
        <v>54</v>
      </c>
      <c r="D49" s="1308">
        <v>1949733.3238365501</v>
      </c>
      <c r="E49" s="1308">
        <v>93</v>
      </c>
      <c r="F49" s="1308">
        <v>1828714.38831212</v>
      </c>
    </row>
    <row r="50" spans="1:6">
      <c r="A50" s="1307" t="s">
        <v>31</v>
      </c>
      <c r="B50" s="1307" t="s">
        <v>40</v>
      </c>
      <c r="C50" s="1308">
        <v>282</v>
      </c>
      <c r="D50" s="1308">
        <v>214173940.60266399</v>
      </c>
      <c r="E50" s="1308">
        <v>385</v>
      </c>
      <c r="F50" s="1308">
        <v>125956188.2646472</v>
      </c>
    </row>
    <row r="51" spans="1:6">
      <c r="A51" s="1307" t="s">
        <v>41</v>
      </c>
      <c r="B51" s="1307" t="s">
        <v>42</v>
      </c>
      <c r="C51" s="1308">
        <v>108</v>
      </c>
      <c r="D51" s="1308">
        <v>18715365.268361401</v>
      </c>
      <c r="E51" s="1308">
        <v>211</v>
      </c>
      <c r="F51" s="1308">
        <v>21261148.1148456</v>
      </c>
    </row>
    <row r="52" spans="1:6">
      <c r="A52" s="1307" t="s">
        <v>41</v>
      </c>
      <c r="B52" s="1307" t="s">
        <v>28</v>
      </c>
      <c r="C52" s="1308">
        <v>0</v>
      </c>
      <c r="D52" s="1308">
        <v>0</v>
      </c>
      <c r="E52" s="1308">
        <v>0</v>
      </c>
      <c r="F52" s="1308">
        <v>0</v>
      </c>
    </row>
    <row r="53" spans="1:6">
      <c r="A53" s="1307" t="s">
        <v>43</v>
      </c>
      <c r="B53" s="1307" t="s">
        <v>44</v>
      </c>
      <c r="C53" s="1308">
        <v>7372</v>
      </c>
      <c r="D53" s="1308">
        <v>178126977.413414</v>
      </c>
      <c r="E53" s="1308">
        <v>13923</v>
      </c>
      <c r="F53" s="1308">
        <v>48715229.556416802</v>
      </c>
    </row>
    <row r="54" spans="1:6">
      <c r="A54" s="1307" t="s">
        <v>45</v>
      </c>
      <c r="B54" s="1307" t="s">
        <v>46</v>
      </c>
      <c r="C54" s="1308">
        <v>0</v>
      </c>
      <c r="D54" s="1308">
        <v>0</v>
      </c>
      <c r="E54" s="1308">
        <v>24</v>
      </c>
      <c r="F54" s="1308">
        <v>27996337.199999999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1860</v>
      </c>
      <c r="D57" s="1308">
        <v>135396966.62034699</v>
      </c>
      <c r="E57" s="1308">
        <v>2753</v>
      </c>
      <c r="F57" s="1308">
        <v>94686175.120251</v>
      </c>
    </row>
    <row r="58" spans="1:6">
      <c r="A58" s="1307" t="s">
        <v>48</v>
      </c>
      <c r="B58" s="1307" t="s">
        <v>50</v>
      </c>
      <c r="C58" s="1308">
        <v>1224</v>
      </c>
      <c r="D58" s="1308">
        <v>167278568.90044001</v>
      </c>
      <c r="E58" s="1308">
        <v>1913</v>
      </c>
      <c r="F58" s="1308">
        <v>79197509.411510304</v>
      </c>
    </row>
    <row r="59" spans="1:6">
      <c r="A59" s="1307" t="s">
        <v>48</v>
      </c>
      <c r="B59" s="1307" t="s">
        <v>51</v>
      </c>
      <c r="C59" s="1308">
        <v>4143</v>
      </c>
      <c r="D59" s="1308">
        <v>177601678.12382501</v>
      </c>
      <c r="E59" s="1308">
        <v>7953</v>
      </c>
      <c r="F59" s="1308">
        <v>226912555.09916002</v>
      </c>
    </row>
    <row r="60" spans="1:6">
      <c r="A60" s="1307" t="s">
        <v>48</v>
      </c>
      <c r="B60" s="1307" t="s">
        <v>52</v>
      </c>
      <c r="C60" s="1308">
        <v>2772</v>
      </c>
      <c r="D60" s="1308">
        <v>151861058.47082999</v>
      </c>
      <c r="E60" s="1308">
        <v>3500</v>
      </c>
      <c r="F60" s="1308">
        <v>103620681.6139904</v>
      </c>
    </row>
    <row r="61" spans="1:6">
      <c r="A61" s="1307" t="s">
        <v>48</v>
      </c>
      <c r="B61" s="1307" t="s">
        <v>53</v>
      </c>
      <c r="C61" s="1308">
        <v>10841</v>
      </c>
      <c r="D61" s="1308">
        <v>956884263.61885202</v>
      </c>
      <c r="E61" s="1308">
        <v>22654</v>
      </c>
      <c r="F61" s="1308">
        <v>549209597.33633101</v>
      </c>
    </row>
    <row r="62" spans="1:6">
      <c r="A62" s="1307" t="s">
        <v>48</v>
      </c>
      <c r="B62" s="1307" t="s">
        <v>54</v>
      </c>
      <c r="C62" s="1308">
        <v>578</v>
      </c>
      <c r="D62" s="1308">
        <v>120298889.853522</v>
      </c>
      <c r="E62" s="1308">
        <v>701</v>
      </c>
      <c r="F62" s="1308">
        <v>54421763.844229296</v>
      </c>
    </row>
    <row r="63" spans="1:6">
      <c r="A63" s="1307" t="s">
        <v>48</v>
      </c>
      <c r="B63" s="1307" t="s">
        <v>28</v>
      </c>
      <c r="C63" s="1308">
        <v>0</v>
      </c>
      <c r="D63" s="1308">
        <v>0</v>
      </c>
      <c r="E63" s="1308">
        <v>0</v>
      </c>
      <c r="F63" s="1308">
        <v>0</v>
      </c>
    </row>
    <row r="64" spans="1:6">
      <c r="A64" s="1307" t="s">
        <v>55</v>
      </c>
      <c r="B64" s="1307" t="s">
        <v>56</v>
      </c>
      <c r="C64" s="1308">
        <v>0</v>
      </c>
      <c r="D64" s="1308">
        <v>0</v>
      </c>
      <c r="E64" s="1308">
        <v>4</v>
      </c>
      <c r="F64" s="1308">
        <v>16711.4754104106</v>
      </c>
    </row>
    <row r="65" spans="1:6">
      <c r="A65" s="1307" t="s">
        <v>55</v>
      </c>
      <c r="B65" s="1307" t="s">
        <v>28</v>
      </c>
      <c r="C65" s="1308">
        <v>2</v>
      </c>
      <c r="D65" s="1308">
        <v>26795.165370035102</v>
      </c>
      <c r="E65" s="1308">
        <v>2</v>
      </c>
      <c r="F65" s="1308">
        <v>7719.4965473991997</v>
      </c>
    </row>
    <row r="66" spans="1:6">
      <c r="A66" s="1307" t="s">
        <v>55</v>
      </c>
      <c r="B66" s="1307" t="s">
        <v>57</v>
      </c>
      <c r="C66" s="1308">
        <v>27</v>
      </c>
      <c r="D66" s="1308">
        <v>3081590.3723071399</v>
      </c>
      <c r="E66" s="1308">
        <v>350</v>
      </c>
      <c r="F66" s="1308">
        <v>21051242.785038002</v>
      </c>
    </row>
    <row r="67" spans="1:6">
      <c r="A67" s="1309" t="s">
        <v>55</v>
      </c>
      <c r="B67" s="1309" t="s">
        <v>58</v>
      </c>
      <c r="C67" s="1308">
        <v>0</v>
      </c>
      <c r="D67" s="1308">
        <v>0</v>
      </c>
      <c r="E67" s="1308">
        <v>5</v>
      </c>
      <c r="F67" s="1308">
        <v>2646126.7089999998</v>
      </c>
    </row>
    <row r="68" spans="1:6">
      <c r="A68" s="1302" t="s">
        <v>55</v>
      </c>
      <c r="B68" s="1302" t="s">
        <v>59</v>
      </c>
      <c r="C68" s="1311">
        <v>99</v>
      </c>
      <c r="D68" s="1311">
        <v>27426182.677144699</v>
      </c>
      <c r="E68" s="1311">
        <v>272</v>
      </c>
      <c r="F68" s="1311">
        <v>54832754.7917298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860396513</v>
      </c>
      <c r="E73" s="447"/>
      <c r="F73" s="326"/>
    </row>
    <row r="74" spans="1:6">
      <c r="A74" s="1307" t="s">
        <v>63</v>
      </c>
      <c r="B74" s="1307" t="s">
        <v>639</v>
      </c>
      <c r="C74" s="1321" t="s">
        <v>641</v>
      </c>
      <c r="D74" s="1322">
        <v>53261391.77974385</v>
      </c>
      <c r="E74" s="447"/>
      <c r="F74" s="326"/>
    </row>
    <row r="75" spans="1:6">
      <c r="A75" s="1307" t="s">
        <v>64</v>
      </c>
      <c r="B75" s="1307" t="s">
        <v>638</v>
      </c>
      <c r="C75" s="1321" t="s">
        <v>642</v>
      </c>
      <c r="D75" s="1322">
        <v>386301241</v>
      </c>
      <c r="E75" s="447"/>
      <c r="F75" s="326"/>
    </row>
    <row r="76" spans="1:6">
      <c r="A76" s="1307" t="s">
        <v>64</v>
      </c>
      <c r="B76" s="1307" t="s">
        <v>639</v>
      </c>
      <c r="C76" s="1321" t="s">
        <v>643</v>
      </c>
      <c r="D76" s="1322">
        <v>13141856.77974385</v>
      </c>
      <c r="E76" s="447"/>
      <c r="F76" s="326"/>
    </row>
    <row r="77" spans="1:6">
      <c r="A77" s="1307" t="s">
        <v>65</v>
      </c>
      <c r="B77" s="1307" t="s">
        <v>638</v>
      </c>
      <c r="C77" s="1321" t="s">
        <v>644</v>
      </c>
      <c r="D77" s="1322">
        <v>1689515497</v>
      </c>
      <c r="E77" s="447"/>
      <c r="F77" s="326"/>
    </row>
    <row r="78" spans="1:6">
      <c r="A78" s="1302" t="s">
        <v>65</v>
      </c>
      <c r="B78" s="1302" t="s">
        <v>639</v>
      </c>
      <c r="C78" s="1302" t="s">
        <v>645</v>
      </c>
      <c r="D78" s="1323">
        <v>320029622</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12918230.4405123</v>
      </c>
      <c r="C83" s="447"/>
      <c r="D83" s="326"/>
      <c r="E83" s="326"/>
      <c r="F83" s="326"/>
    </row>
    <row r="84" spans="1:6">
      <c r="A84" s="1302" t="s">
        <v>330</v>
      </c>
      <c r="B84" s="1323">
        <v>9504575.0211831108</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194060.80539618534</v>
      </c>
      <c r="C90" s="326"/>
      <c r="D90" s="326"/>
      <c r="E90" s="326"/>
      <c r="F90" s="326"/>
    </row>
    <row r="91" spans="1:6">
      <c r="A91" s="1307" t="s">
        <v>67</v>
      </c>
      <c r="B91" s="1308">
        <v>21731.254640483032</v>
      </c>
      <c r="C91" s="326"/>
      <c r="D91" s="326"/>
      <c r="E91" s="326"/>
      <c r="F91" s="326"/>
    </row>
    <row r="92" spans="1:6">
      <c r="A92" s="1302" t="s">
        <v>68</v>
      </c>
      <c r="B92" s="1303">
        <v>47780.652514347021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142544</v>
      </c>
      <c r="C97" s="326"/>
      <c r="D97" s="326"/>
      <c r="E97" s="326"/>
      <c r="F97" s="326"/>
    </row>
    <row r="98" spans="1:6">
      <c r="A98" s="1307" t="s">
        <v>71</v>
      </c>
      <c r="B98" s="1308">
        <v>436</v>
      </c>
      <c r="C98" s="326"/>
      <c r="D98" s="326"/>
      <c r="E98" s="326"/>
      <c r="F98" s="326"/>
    </row>
    <row r="99" spans="1:6">
      <c r="A99" s="1307" t="s">
        <v>72</v>
      </c>
      <c r="B99" s="1308">
        <v>504</v>
      </c>
      <c r="C99" s="326"/>
      <c r="D99" s="326"/>
      <c r="E99" s="326"/>
      <c r="F99" s="326"/>
    </row>
    <row r="100" spans="1:6">
      <c r="A100" s="1307" t="s">
        <v>73</v>
      </c>
      <c r="B100" s="1308">
        <v>12353</v>
      </c>
      <c r="C100" s="326"/>
      <c r="D100" s="326"/>
      <c r="E100" s="326"/>
      <c r="F100" s="326"/>
    </row>
    <row r="101" spans="1:6">
      <c r="A101" s="1307" t="s">
        <v>74</v>
      </c>
      <c r="B101" s="1308">
        <v>483</v>
      </c>
      <c r="C101" s="326"/>
      <c r="D101" s="326"/>
      <c r="E101" s="326"/>
      <c r="F101" s="326"/>
    </row>
    <row r="102" spans="1:6">
      <c r="A102" s="1307" t="s">
        <v>75</v>
      </c>
      <c r="B102" s="1308">
        <v>6918</v>
      </c>
      <c r="C102" s="326"/>
      <c r="D102" s="326"/>
      <c r="E102" s="326"/>
      <c r="F102" s="326"/>
    </row>
    <row r="103" spans="1:6">
      <c r="A103" s="1307" t="s">
        <v>76</v>
      </c>
      <c r="B103" s="1308">
        <v>1961</v>
      </c>
      <c r="C103" s="326"/>
      <c r="D103" s="326"/>
      <c r="E103" s="326"/>
      <c r="F103" s="326"/>
    </row>
    <row r="104" spans="1:6">
      <c r="A104" s="1307" t="s">
        <v>77</v>
      </c>
      <c r="B104" s="1308">
        <v>38687</v>
      </c>
      <c r="C104" s="326"/>
      <c r="D104" s="326"/>
      <c r="E104" s="326"/>
      <c r="F104" s="326"/>
    </row>
    <row r="105" spans="1:6">
      <c r="A105" s="1302" t="s">
        <v>78</v>
      </c>
      <c r="B105" s="1311">
        <v>225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2</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13</v>
      </c>
      <c r="C121" s="1308">
        <v>0</v>
      </c>
      <c r="D121" s="326"/>
      <c r="E121" s="326"/>
      <c r="F121" s="326"/>
    </row>
    <row r="122" spans="1:6">
      <c r="A122" s="1307" t="s">
        <v>86</v>
      </c>
      <c r="B122" s="1308">
        <v>2</v>
      </c>
      <c r="C122" s="1308">
        <v>0</v>
      </c>
      <c r="D122" s="326"/>
      <c r="E122" s="326"/>
      <c r="F122" s="326"/>
    </row>
    <row r="123" spans="1:6">
      <c r="A123" s="1307" t="s">
        <v>87</v>
      </c>
      <c r="B123" s="1308">
        <v>84</v>
      </c>
      <c r="C123" s="1308">
        <v>392</v>
      </c>
      <c r="D123" s="326"/>
      <c r="E123" s="326"/>
      <c r="F123" s="326"/>
    </row>
    <row r="124" spans="1:6" s="43" customFormat="1">
      <c r="A124" s="1309" t="s">
        <v>88</v>
      </c>
      <c r="B124" s="1330">
        <v>0</v>
      </c>
      <c r="C124" s="1330">
        <v>1</v>
      </c>
      <c r="D124" s="332"/>
      <c r="E124" s="332"/>
      <c r="F124" s="332"/>
    </row>
    <row r="125" spans="1:6">
      <c r="A125" s="1302" t="s">
        <v>827</v>
      </c>
      <c r="B125" s="1330">
        <v>2</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882</v>
      </c>
      <c r="C129" s="326"/>
      <c r="D129" s="326"/>
      <c r="E129" s="326"/>
      <c r="F129" s="326"/>
    </row>
    <row r="130" spans="1:6">
      <c r="A130" s="1307" t="s">
        <v>290</v>
      </c>
      <c r="B130" s="1308">
        <v>19</v>
      </c>
      <c r="C130" s="326"/>
      <c r="D130" s="326"/>
      <c r="E130" s="326"/>
      <c r="F130" s="326"/>
    </row>
    <row r="131" spans="1:6">
      <c r="A131" s="1307" t="s">
        <v>291</v>
      </c>
      <c r="B131" s="1308">
        <v>44</v>
      </c>
      <c r="C131" s="326"/>
      <c r="D131" s="326"/>
      <c r="E131" s="326"/>
      <c r="F131" s="326"/>
    </row>
    <row r="132" spans="1:6">
      <c r="A132" s="1302" t="s">
        <v>292</v>
      </c>
      <c r="B132" s="1303">
        <v>81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2255069.4773457833</v>
      </c>
      <c r="C3" s="43" t="s">
        <v>169</v>
      </c>
      <c r="D3" s="43"/>
      <c r="E3" s="154"/>
      <c r="F3" s="43"/>
      <c r="G3" s="43"/>
      <c r="H3" s="43"/>
      <c r="I3" s="43"/>
      <c r="J3" s="43"/>
      <c r="K3" s="96"/>
    </row>
    <row r="4" spans="1:11">
      <c r="A4" s="354" t="s">
        <v>170</v>
      </c>
      <c r="B4" s="49">
        <f>IF(ISERROR('SEAP template'!B78+'SEAP template'!C78),0,'SEAP template'!B78+'SEAP template'!C78)</f>
        <v>294987.46255101543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2767.2474583665521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0.19331793415124307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3953.2418466527538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16637.631274131272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0.23760845408320727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27996.337199999998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27996.337199999998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0.19331793415124307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5412.1940713055965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602422.44070874376</v>
      </c>
      <c r="C5" s="17">
        <f>IF(ISERROR('Eigen informatie GS &amp; warmtenet'!B59),0,'Eigen informatie GS &amp; warmtenet'!B59)</f>
        <v>0</v>
      </c>
      <c r="D5" s="30">
        <f>(SUM(HH_hh_gas_kWh,HH_rest_gas_kWh)/1000)*0.903</f>
        <v>2004034.0529685041</v>
      </c>
      <c r="E5" s="17">
        <f>B32*B41</f>
        <v>38002.654348763841</v>
      </c>
      <c r="F5" s="17">
        <f>B36*B45</f>
        <v>863187.75357291766</v>
      </c>
      <c r="G5" s="18"/>
      <c r="H5" s="17"/>
      <c r="I5" s="17"/>
      <c r="J5" s="17">
        <f>B35*B44+C35*C44</f>
        <v>4318.3826946302097</v>
      </c>
      <c r="K5" s="17"/>
      <c r="L5" s="17"/>
      <c r="M5" s="17"/>
      <c r="N5" s="17">
        <f>B34*B43+C34*C43</f>
        <v>305443.92965246079</v>
      </c>
      <c r="O5" s="17">
        <f>B52*B53*B54</f>
        <v>2529.5467297184655</v>
      </c>
      <c r="P5" s="17">
        <f>B60*B61*B62/1000-B60*B61*B62/1000/B63</f>
        <v>1738.1032857680286</v>
      </c>
    </row>
    <row r="6" spans="1:16">
      <c r="A6" s="16" t="s">
        <v>604</v>
      </c>
      <c r="B6" s="779">
        <f>kWh_PV_kleiner_dan_10kW</f>
        <v>21731.254640483032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624153.69534922682</v>
      </c>
      <c r="C8" s="21">
        <f>C5</f>
        <v>0</v>
      </c>
      <c r="D8" s="21">
        <f>D5</f>
        <v>2004034.0529685041</v>
      </c>
      <c r="E8" s="21">
        <f>E5</f>
        <v>38002.654348763841</v>
      </c>
      <c r="F8" s="21">
        <f>F5</f>
        <v>863187.75357291766</v>
      </c>
      <c r="G8" s="21"/>
      <c r="H8" s="21"/>
      <c r="I8" s="21"/>
      <c r="J8" s="21">
        <f>J5</f>
        <v>4318.3826946302097</v>
      </c>
      <c r="K8" s="21"/>
      <c r="L8" s="21">
        <f>L5</f>
        <v>0</v>
      </c>
      <c r="M8" s="21">
        <f>M5</f>
        <v>0</v>
      </c>
      <c r="N8" s="21">
        <f>N5</f>
        <v>305443.92965246079</v>
      </c>
      <c r="O8" s="21">
        <f>O5</f>
        <v>2529.5467297184655</v>
      </c>
      <c r="P8" s="21">
        <f>P5</f>
        <v>1738.1032857680286</v>
      </c>
    </row>
    <row r="9" spans="1:16">
      <c r="B9" s="19"/>
      <c r="C9" s="19"/>
      <c r="D9" s="254"/>
      <c r="E9" s="19"/>
      <c r="F9" s="19"/>
      <c r="G9" s="19"/>
      <c r="H9" s="19"/>
      <c r="I9" s="19"/>
      <c r="J9" s="19"/>
      <c r="K9" s="19"/>
      <c r="L9" s="19"/>
      <c r="M9" s="19"/>
      <c r="N9" s="19"/>
      <c r="O9" s="19"/>
      <c r="P9" s="19"/>
    </row>
    <row r="10" spans="1:16">
      <c r="A10" s="24" t="s">
        <v>213</v>
      </c>
      <c r="B10" s="25">
        <f ca="1">'EF ele_warmte'!B12</f>
        <v>0.19331793415124307</v>
      </c>
      <c r="C10" s="25">
        <f ca="1">'EF ele_warmte'!B22</f>
        <v>0.23760845408320727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120660.10297777686</v>
      </c>
      <c r="C12" s="23">
        <f ca="1">C10*C8</f>
        <v>0</v>
      </c>
      <c r="D12" s="23">
        <f>D8*D10</f>
        <v>404814.87869963783</v>
      </c>
      <c r="E12" s="23">
        <f>E10*E8</f>
        <v>8626.6025371693922</v>
      </c>
      <c r="F12" s="23">
        <f>F10*F8</f>
        <v>230471.13020396902</v>
      </c>
      <c r="G12" s="23"/>
      <c r="H12" s="23"/>
      <c r="I12" s="23"/>
      <c r="J12" s="23">
        <f>J10*J8</f>
        <v>1528.7074738990941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234467</v>
      </c>
      <c r="C26" s="36"/>
      <c r="D26" s="225"/>
    </row>
    <row r="27" spans="1:5" s="15" customFormat="1">
      <c r="A27" s="227" t="s">
        <v>817</v>
      </c>
      <c r="B27" s="37">
        <f>SUM(HH_hh_gas_aantal,HH_rest_gas_aantal)</f>
        <v>182219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173108.05</v>
      </c>
      <c r="C31" s="34" t="s">
        <v>110</v>
      </c>
      <c r="D31" s="171"/>
    </row>
    <row r="32" spans="1:5">
      <c r="A32" s="168" t="s">
        <v>72</v>
      </c>
      <c r="B32" s="33">
        <f>IF((B21*($B$26-($B$27-0.05*$B$27)-$B$60))&lt;0,0,B21*($B$26-($B$27-0.05*$B$27)-$B$60))</f>
        <v>941.85805408538704</v>
      </c>
      <c r="C32" s="34" t="s">
        <v>110</v>
      </c>
      <c r="D32" s="171"/>
    </row>
    <row r="33" spans="1:6">
      <c r="A33" s="168" t="s">
        <v>73</v>
      </c>
      <c r="B33" s="33">
        <f>IF((B22*($B$26-($B$27-0.05*$B$27)-$B$60))&lt;0,0,B22*($B$26-($B$27-0.05*$B$27)-$B$60))</f>
        <v>15293.909427996474</v>
      </c>
      <c r="C33" s="34" t="s">
        <v>110</v>
      </c>
      <c r="D33" s="171"/>
    </row>
    <row r="34" spans="1:6">
      <c r="A34" s="168" t="s">
        <v>74</v>
      </c>
      <c r="B34" s="33">
        <f>IF((B24*($B$26-($B$27-0.05*$B$27)-$B$60))&lt;0,0,B24*($B$26-($B$27-0.05*$B$27)-$B$60))</f>
        <v>2929.520312173016</v>
      </c>
      <c r="C34" s="33">
        <f>B26*C24</f>
        <v>48012.72204218457</v>
      </c>
      <c r="D34" s="230"/>
    </row>
    <row r="35" spans="1:6">
      <c r="A35" s="168" t="s">
        <v>76</v>
      </c>
      <c r="B35" s="33">
        <f>IF((B19*($B$26-($B$27-0.05*$B$27)-$B$60))&lt;0,0,B19*($B$26-($B$27-0.05*$B$27)-$B$60))</f>
        <v>409.42345065985569</v>
      </c>
      <c r="C35" s="33">
        <f>B35/2</f>
        <v>204.71172532992784</v>
      </c>
      <c r="D35" s="230"/>
    </row>
    <row r="36" spans="1:6">
      <c r="A36" s="168" t="s">
        <v>77</v>
      </c>
      <c r="B36" s="33">
        <f>IF((B18*($B$26-($B$27-0.05*$B$27)-$B$60))&lt;0,0,B18*($B$26-($B$27-0.05*$B$27)-$B$60))</f>
        <v>41619.238755085265</v>
      </c>
      <c r="C36" s="34" t="s">
        <v>110</v>
      </c>
      <c r="D36" s="171"/>
    </row>
    <row r="37" spans="1:6">
      <c r="A37" s="168" t="s">
        <v>78</v>
      </c>
      <c r="B37" s="33">
        <f>B60</f>
        <v>165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1275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165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1108048.282425472</v>
      </c>
      <c r="C5" s="17">
        <f>IF(ISERROR('Eigen informatie GS &amp; warmtenet'!B60),0,'Eigen informatie GS &amp; warmtenet'!B60)</f>
        <v>0</v>
      </c>
      <c r="D5" s="30">
        <f>SUM(D6:D12)</f>
        <v>1543517.2473057979</v>
      </c>
      <c r="E5" s="17">
        <f>SUM(E6:E12)</f>
        <v>2285.1662033554117</v>
      </c>
      <c r="F5" s="17">
        <f>SUM(F6:F12)</f>
        <v>153780.2568200411</v>
      </c>
      <c r="G5" s="18"/>
      <c r="H5" s="17"/>
      <c r="I5" s="17"/>
      <c r="J5" s="17">
        <f>SUM(J6:J12)</f>
        <v>0.93510363211784708</v>
      </c>
      <c r="K5" s="17"/>
      <c r="L5" s="17"/>
      <c r="M5" s="17"/>
      <c r="N5" s="17">
        <f>SUM(N6:N12)</f>
        <v>34924.337326357861</v>
      </c>
      <c r="O5" s="17">
        <f>B38*B39*B40</f>
        <v>93.047954550981942</v>
      </c>
      <c r="P5" s="17">
        <f>B46*B47*B48/1000-B46*B47*B48/1000/B49</f>
        <v>3204.8874366961959</v>
      </c>
      <c r="R5" s="32"/>
    </row>
    <row r="6" spans="1:18">
      <c r="A6" s="32" t="s">
        <v>53</v>
      </c>
      <c r="B6" s="37">
        <f>B26</f>
        <v>549209.59733633103</v>
      </c>
      <c r="C6" s="33"/>
      <c r="D6" s="37">
        <f>IF(ISERROR(TER_kantoor_gas_kWh/1000),0,TER_kantoor_gas_kWh/1000)*0.903</f>
        <v>864066.4900478234</v>
      </c>
      <c r="E6" s="33">
        <f>$C$26*'E Balans VL '!I12/100/3.6*1000000</f>
        <v>131.57756501888511</v>
      </c>
      <c r="F6" s="33">
        <f>$C$26*('E Balans VL '!L12+'E Balans VL '!N12)/100/3.6*1000000</f>
        <v>52080.901051499794</v>
      </c>
      <c r="G6" s="34"/>
      <c r="H6" s="33"/>
      <c r="I6" s="33"/>
      <c r="J6" s="33">
        <f>$C$26*('E Balans VL '!D12+'E Balans VL '!E12)/100/3.6*1000000</f>
        <v>0</v>
      </c>
      <c r="K6" s="33"/>
      <c r="L6" s="33"/>
      <c r="M6" s="33"/>
      <c r="N6" s="33">
        <f>$C$26*'E Balans VL '!Y12/100/3.6*1000000</f>
        <v>278.97006829669914</v>
      </c>
      <c r="O6" s="33"/>
      <c r="P6" s="33"/>
      <c r="R6" s="32"/>
    </row>
    <row r="7" spans="1:18">
      <c r="A7" s="32" t="s">
        <v>52</v>
      </c>
      <c r="B7" s="37">
        <f t="shared" ref="B7:B12" si="0">B27</f>
        <v>103620.6816139904</v>
      </c>
      <c r="C7" s="33"/>
      <c r="D7" s="37">
        <f>IF(ISERROR(TER_horeca_gas_kWh/1000),0,TER_horeca_gas_kWh/1000)*0.903</f>
        <v>137130.53579915949</v>
      </c>
      <c r="E7" s="33">
        <f>$C$27*'E Balans VL '!I9/100/3.6*1000000</f>
        <v>0</v>
      </c>
      <c r="F7" s="33">
        <f>$C$27*('E Balans VL '!L9+'E Balans VL '!N9)/100/3.6*1000000</f>
        <v>8496.6523123198567</v>
      </c>
      <c r="G7" s="34"/>
      <c r="H7" s="33"/>
      <c r="I7" s="33"/>
      <c r="J7" s="33">
        <f>$C$27*('E Balans VL '!D9+'E Balans VL '!E9)/100/3.6*1000000</f>
        <v>0</v>
      </c>
      <c r="K7" s="33"/>
      <c r="L7" s="33"/>
      <c r="M7" s="33"/>
      <c r="N7" s="33">
        <f>$C$27*'E Balans VL '!Y9/100/3.6*1000000</f>
        <v>31.763902088374465</v>
      </c>
      <c r="O7" s="33"/>
      <c r="P7" s="33"/>
      <c r="R7" s="32"/>
    </row>
    <row r="8" spans="1:18">
      <c r="A8" s="6" t="s">
        <v>51</v>
      </c>
      <c r="B8" s="37">
        <f t="shared" si="0"/>
        <v>226912.55509916</v>
      </c>
      <c r="C8" s="33"/>
      <c r="D8" s="37">
        <f>IF(ISERROR(TER_handel_gas_kWh/1000),0,TER_handel_gas_kWh/1000)*0.903</f>
        <v>160374.31534581402</v>
      </c>
      <c r="E8" s="33">
        <f>$C$28*'E Balans VL '!I13/100/3.6*1000000</f>
        <v>797.47361141259717</v>
      </c>
      <c r="F8" s="33">
        <f>$C$28*('E Balans VL '!L13+'E Balans VL '!N13)/100/3.6*1000000</f>
        <v>20762.091294654387</v>
      </c>
      <c r="G8" s="34"/>
      <c r="H8" s="33"/>
      <c r="I8" s="33"/>
      <c r="J8" s="33">
        <f>$C$28*('E Balans VL '!D13+'E Balans VL '!E13)/100/3.6*1000000</f>
        <v>0</v>
      </c>
      <c r="K8" s="33"/>
      <c r="L8" s="33"/>
      <c r="M8" s="33"/>
      <c r="N8" s="33">
        <f>$C$28*'E Balans VL '!Y13/100/3.6*1000000</f>
        <v>82.177958505819305</v>
      </c>
      <c r="O8" s="33"/>
      <c r="P8" s="33"/>
      <c r="R8" s="32"/>
    </row>
    <row r="9" spans="1:18">
      <c r="A9" s="32" t="s">
        <v>50</v>
      </c>
      <c r="B9" s="37">
        <f t="shared" si="0"/>
        <v>79197.509411510298</v>
      </c>
      <c r="C9" s="33"/>
      <c r="D9" s="37">
        <f>IF(ISERROR(TER_gezond_gas_kWh/1000),0,TER_gezond_gas_kWh/1000)*0.903</f>
        <v>151052.54771709733</v>
      </c>
      <c r="E9" s="33">
        <f>$C$29*'E Balans VL '!I10/100/3.6*1000000</f>
        <v>0</v>
      </c>
      <c r="F9" s="33">
        <f>$C$29*('E Balans VL '!L10+'E Balans VL '!N10)/100/3.6*1000000</f>
        <v>9708.160354081956</v>
      </c>
      <c r="G9" s="34"/>
      <c r="H9" s="33"/>
      <c r="I9" s="33"/>
      <c r="J9" s="33">
        <f>$C$29*('E Balans VL '!D10+'E Balans VL '!E10)/100/3.6*1000000</f>
        <v>0</v>
      </c>
      <c r="K9" s="33"/>
      <c r="L9" s="33"/>
      <c r="M9" s="33"/>
      <c r="N9" s="33">
        <f>$C$29*'E Balans VL '!Y10/100/3.6*1000000</f>
        <v>584.02644274250929</v>
      </c>
      <c r="O9" s="33"/>
      <c r="P9" s="33"/>
      <c r="R9" s="32"/>
    </row>
    <row r="10" spans="1:18">
      <c r="A10" s="32" t="s">
        <v>49</v>
      </c>
      <c r="B10" s="37">
        <f t="shared" si="0"/>
        <v>94686.175120251006</v>
      </c>
      <c r="C10" s="33"/>
      <c r="D10" s="37">
        <f>IF(ISERROR(TER_ander_gas_kWh/1000),0,TER_ander_gas_kWh/1000)*0.903</f>
        <v>122263.46085817335</v>
      </c>
      <c r="E10" s="33">
        <f>$C$30*'E Balans VL '!I14/100/3.6*1000000</f>
        <v>1356.1150269239292</v>
      </c>
      <c r="F10" s="33">
        <f>$C$30*('E Balans VL '!L14+'E Balans VL '!N14)/100/3.6*1000000</f>
        <v>56369.899537266174</v>
      </c>
      <c r="G10" s="34"/>
      <c r="H10" s="33"/>
      <c r="I10" s="33"/>
      <c r="J10" s="33">
        <f>$C$30*('E Balans VL '!D14+'E Balans VL '!E14)/100/3.6*1000000</f>
        <v>0.93510363211784708</v>
      </c>
      <c r="K10" s="33"/>
      <c r="L10" s="33"/>
      <c r="M10" s="33"/>
      <c r="N10" s="33">
        <f>$C$30*'E Balans VL '!Y14/100/3.6*1000000</f>
        <v>33794.153517056497</v>
      </c>
      <c r="O10" s="33"/>
      <c r="P10" s="33"/>
      <c r="R10" s="32"/>
    </row>
    <row r="11" spans="1:18">
      <c r="A11" s="32" t="s">
        <v>54</v>
      </c>
      <c r="B11" s="37">
        <f t="shared" si="0"/>
        <v>54421.763844229296</v>
      </c>
      <c r="C11" s="33"/>
      <c r="D11" s="37">
        <f>IF(ISERROR(TER_onderwijs_gas_kWh/1000),0,TER_onderwijs_gas_kWh/1000)*0.903</f>
        <v>108629.89753773037</v>
      </c>
      <c r="E11" s="33">
        <f>$C$31*'E Balans VL '!I11/100/3.6*1000000</f>
        <v>0</v>
      </c>
      <c r="F11" s="33">
        <f>$C$31*('E Balans VL '!L11+'E Balans VL '!N11)/100/3.6*1000000</f>
        <v>6362.552270218931</v>
      </c>
      <c r="G11" s="34"/>
      <c r="H11" s="33"/>
      <c r="I11" s="33"/>
      <c r="J11" s="33">
        <f>$C$31*('E Balans VL '!D11+'E Balans VL '!E11)/100/3.6*1000000</f>
        <v>0</v>
      </c>
      <c r="K11" s="33"/>
      <c r="L11" s="33"/>
      <c r="M11" s="33"/>
      <c r="N11" s="33">
        <f>$C$31*'E Balans VL '!Y11/100/3.6*1000000</f>
        <v>153.24543766796037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energieproductie'!N52+'lokale energieproductie'!N44</f>
        <v>27787.75</v>
      </c>
      <c r="C13" s="243">
        <f ca="1">'lokale energieproductie'!O52+'lokale energieproductie'!O44</f>
        <v>11456.202702702702</v>
      </c>
      <c r="D13" s="304">
        <f ca="1">('lokale energieproductie'!P44+'lokale energieproductie'!P52)*(-1)</f>
        <v>-22906.891891891893</v>
      </c>
      <c r="E13" s="244"/>
      <c r="F13" s="304">
        <f ca="1">('lokale energieproductie'!S44+'lokale energieproductie'!S52)*(-1)</f>
        <v>0</v>
      </c>
      <c r="G13" s="245"/>
      <c r="H13" s="244"/>
      <c r="I13" s="244"/>
      <c r="J13" s="244"/>
      <c r="K13" s="244"/>
      <c r="L13" s="304">
        <f ca="1">('lokale energieproductie'!U44+'lokale energieproductie'!T44+'lokale energieproductie'!U52+'lokale energieproductie'!T52)*(-1)</f>
        <v>0</v>
      </c>
      <c r="M13" s="244"/>
      <c r="N13" s="304">
        <f ca="1">('lokale energieproductie'!Q44+'lokale energieproductie'!R44+'lokale energieproductie'!V44+'lokale energieproductie'!Q52+'lokale energieproductie'!R52+'lokale energieproductie'!V52)*(-1)</f>
        <v>-56481.428571428572</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1135836.032425472</v>
      </c>
      <c r="C16" s="21">
        <f t="shared" ca="1" si="1"/>
        <v>11456.202702702702</v>
      </c>
      <c r="D16" s="21">
        <f t="shared" ca="1" si="1"/>
        <v>1520610.355413906</v>
      </c>
      <c r="E16" s="21">
        <f t="shared" si="1"/>
        <v>2285.1662033554117</v>
      </c>
      <c r="F16" s="21">
        <f t="shared" ca="1" si="1"/>
        <v>153780.2568200411</v>
      </c>
      <c r="G16" s="21">
        <f t="shared" si="1"/>
        <v>0</v>
      </c>
      <c r="H16" s="21">
        <f t="shared" si="1"/>
        <v>0</v>
      </c>
      <c r="I16" s="21">
        <f t="shared" si="1"/>
        <v>0</v>
      </c>
      <c r="J16" s="21">
        <f t="shared" si="1"/>
        <v>0.93510363211784708</v>
      </c>
      <c r="K16" s="21">
        <f t="shared" si="1"/>
        <v>0</v>
      </c>
      <c r="L16" s="21">
        <f t="shared" ca="1" si="1"/>
        <v>0</v>
      </c>
      <c r="M16" s="21">
        <f t="shared" si="1"/>
        <v>0</v>
      </c>
      <c r="N16" s="21">
        <f t="shared" ca="1" si="1"/>
        <v>0</v>
      </c>
      <c r="O16" s="21">
        <f>O5</f>
        <v>93.047954550981942</v>
      </c>
      <c r="P16" s="21">
        <f>P5</f>
        <v>3204.8874366961959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0.19331793415124307</v>
      </c>
      <c r="C18" s="25">
        <f ca="1">'EF ele_warmte'!B22</f>
        <v>0.23760845408320727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219577.4753230366</v>
      </c>
      <c r="C20" s="23">
        <f t="shared" ref="C20:P20" ca="1" si="2">C16*C18</f>
        <v>2722.0906138530499</v>
      </c>
      <c r="D20" s="23">
        <f t="shared" ca="1" si="2"/>
        <v>307163.29179360904</v>
      </c>
      <c r="E20" s="23">
        <f t="shared" si="2"/>
        <v>518.73272816167844</v>
      </c>
      <c r="F20" s="23">
        <f t="shared" ca="1" si="2"/>
        <v>41059.32857095098</v>
      </c>
      <c r="G20" s="23">
        <f t="shared" si="2"/>
        <v>0</v>
      </c>
      <c r="H20" s="23">
        <f t="shared" si="2"/>
        <v>0</v>
      </c>
      <c r="I20" s="23">
        <f t="shared" si="2"/>
        <v>0</v>
      </c>
      <c r="J20" s="23">
        <f t="shared" si="2"/>
        <v>0.33102668576971783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549209.59733633103</v>
      </c>
      <c r="C26" s="39">
        <f>IF(ISERROR(B26*3.6/1000000/'E Balans VL '!Z12*100),0,B26*3.6/1000000/'E Balans VL '!Z12*100)</f>
        <v>15.489165025533833</v>
      </c>
      <c r="D26" s="233" t="s">
        <v>691</v>
      </c>
      <c r="F26" s="6"/>
    </row>
    <row r="27" spans="1:18">
      <c r="A27" s="228" t="s">
        <v>52</v>
      </c>
      <c r="B27" s="33">
        <f>IF(ISERROR(TER_horeca_ele_kWh/1000),0,TER_horeca_ele_kWh/1000)</f>
        <v>103620.6816139904</v>
      </c>
      <c r="C27" s="39">
        <f>IF(ISERROR(B27*3.6/1000000/'E Balans VL '!Z9*100),0,B27*3.6/1000000/'E Balans VL '!Z9*100)</f>
        <v>7.6822005950493768</v>
      </c>
      <c r="D27" s="233" t="s">
        <v>691</v>
      </c>
      <c r="F27" s="6"/>
    </row>
    <row r="28" spans="1:18">
      <c r="A28" s="168" t="s">
        <v>51</v>
      </c>
      <c r="B28" s="33">
        <f>IF(ISERROR(TER_handel_ele_kWh/1000),0,TER_handel_ele_kWh/1000)</f>
        <v>226912.55509916</v>
      </c>
      <c r="C28" s="39">
        <f>IF(ISERROR(B28*3.6/1000000/'E Balans VL '!Z13*100),0,B28*3.6/1000000/'E Balans VL '!Z13*100)</f>
        <v>6.7977606460282445</v>
      </c>
      <c r="D28" s="233" t="s">
        <v>691</v>
      </c>
      <c r="F28" s="6"/>
    </row>
    <row r="29" spans="1:18">
      <c r="A29" s="228" t="s">
        <v>50</v>
      </c>
      <c r="B29" s="33">
        <f>IF(ISERROR(TER_gezond_ele_kWh/1000),0,TER_gezond_ele_kWh/1000)</f>
        <v>79197.509411510298</v>
      </c>
      <c r="C29" s="39">
        <f>IF(ISERROR(B29*3.6/1000000/'E Balans VL '!Z10*100),0,B29*3.6/1000000/'E Balans VL '!Z10*100)</f>
        <v>7.8310807719244204</v>
      </c>
      <c r="D29" s="233" t="s">
        <v>691</v>
      </c>
      <c r="F29" s="6"/>
    </row>
    <row r="30" spans="1:18">
      <c r="A30" s="228" t="s">
        <v>49</v>
      </c>
      <c r="B30" s="33">
        <f>IF(ISERROR(TER_ander_ele_kWh/1000),0,TER_ander_ele_kWh/1000)</f>
        <v>94686.175120251006</v>
      </c>
      <c r="C30" s="39">
        <f>IF(ISERROR(B30*3.6/1000000/'E Balans VL '!Z14*100),0,B30*3.6/1000000/'E Balans VL '!Z14*100)</f>
        <v>3.8297759677181449</v>
      </c>
      <c r="D30" s="233" t="s">
        <v>691</v>
      </c>
      <c r="F30" s="6"/>
    </row>
    <row r="31" spans="1:18">
      <c r="A31" s="228" t="s">
        <v>54</v>
      </c>
      <c r="B31" s="33">
        <f>IF(ISERROR(TER_onderwijs_ele_kWh/1000),0,TER_onderwijs_ele_kWh/1000)</f>
        <v>54421.763844229296</v>
      </c>
      <c r="C31" s="39">
        <f>IF(ISERROR(B31*3.6/1000000/'E Balans VL '!Z11*100),0,B31*3.6/1000000/'E Balans VL '!Z11*100)</f>
        <v>14.952038644044086</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19</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61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354542.09601998818</v>
      </c>
      <c r="C5" s="17">
        <f>IF(ISERROR('Eigen informatie GS &amp; warmtenet'!B61),0,'Eigen informatie GS &amp; warmtenet'!B61)</f>
        <v>0</v>
      </c>
      <c r="D5" s="30">
        <f>SUM(D6:D15)</f>
        <v>333249.8660309437</v>
      </c>
      <c r="E5" s="17">
        <f>SUM(E6:E15)</f>
        <v>1655.7400712265649</v>
      </c>
      <c r="F5" s="17">
        <f>SUM(F6:F15)</f>
        <v>52823.617107845021</v>
      </c>
      <c r="G5" s="18"/>
      <c r="H5" s="17"/>
      <c r="I5" s="17"/>
      <c r="J5" s="17">
        <f>SUM(J6:J15)</f>
        <v>139.05254683401807</v>
      </c>
      <c r="K5" s="17"/>
      <c r="L5" s="17"/>
      <c r="M5" s="17"/>
      <c r="N5" s="17">
        <f>SUM(N6:N15)</f>
        <v>13071.663569628367</v>
      </c>
      <c r="O5" s="17">
        <f>B43*B44*B45</f>
        <v>0</v>
      </c>
      <c r="P5" s="17">
        <f>B51*B52*B53/1000-B51*B52*B53/1000/B54</f>
        <v>0</v>
      </c>
      <c r="R5" s="32"/>
    </row>
    <row r="6" spans="1:18">
      <c r="A6" s="6" t="s">
        <v>34</v>
      </c>
      <c r="B6" s="37">
        <f>IF( ISERROR(IND_ijzer_ele_kWh/1000),0,IND_ijzer_ele_kWh/1000)</f>
        <v>35.803067710279301</v>
      </c>
      <c r="C6" s="33"/>
      <c r="D6" s="37">
        <f>IF( ISERROR(IND_ijzer_gas_kWh/1000),0,IND_ijzer_gas_kWh/1000)*0.903</f>
        <v>62.465457674719424</v>
      </c>
      <c r="E6" s="33"/>
      <c r="F6" s="33"/>
      <c r="G6" s="34"/>
      <c r="H6" s="33"/>
      <c r="I6" s="33"/>
      <c r="J6" s="40"/>
      <c r="K6" s="33"/>
      <c r="L6" s="33"/>
      <c r="M6" s="33"/>
      <c r="N6" s="33"/>
      <c r="O6" s="33"/>
      <c r="P6" s="33"/>
      <c r="R6" s="32"/>
    </row>
    <row r="7" spans="1:18">
      <c r="A7" s="6" t="s">
        <v>37</v>
      </c>
      <c r="B7" s="37">
        <f t="shared" ref="B7:B15" si="0">B29</f>
        <v>1301.3128248407961</v>
      </c>
      <c r="C7" s="33"/>
      <c r="D7" s="37">
        <f>IF( ISERROR(IND_nonf_gas_kWhh/1000),0,IND_nonf_gas_kWh/1000)*0.903</f>
        <v>0</v>
      </c>
      <c r="E7" s="33">
        <f>C29*'E Balans VL '!I17/100/3.6*1000000</f>
        <v>0.76254267570791967</v>
      </c>
      <c r="F7" s="33">
        <f>C29*'E Balans VL '!L17/100/3.6*1000000+C29*'E Balans VL '!N17/100/3.6*1000000</f>
        <v>12.402460442072945</v>
      </c>
      <c r="G7" s="34"/>
      <c r="H7" s="33"/>
      <c r="I7" s="33"/>
      <c r="J7" s="40">
        <f>C29*'E Balans VL '!D17/100/3.6*1000000+C29*'E Balans VL '!E17/100/3.6*1000000</f>
        <v>35.300922760024406</v>
      </c>
      <c r="K7" s="33"/>
      <c r="L7" s="33"/>
      <c r="M7" s="33"/>
      <c r="N7" s="33">
        <f>C29*'E Balans VL '!Y17/100/3.6*1000000</f>
        <v>0</v>
      </c>
      <c r="O7" s="33"/>
      <c r="P7" s="33"/>
      <c r="R7" s="32"/>
    </row>
    <row r="8" spans="1:18">
      <c r="A8" s="6" t="s">
        <v>35</v>
      </c>
      <c r="B8" s="37">
        <f t="shared" si="0"/>
        <v>116885.10351574901</v>
      </c>
      <c r="C8" s="33"/>
      <c r="D8" s="37">
        <f>IF( ISERROR(IND_metaal_Gas_kWH/1000),0,IND_metaal_Gas_kWH/1000)*0.903</f>
        <v>40587.571116800624</v>
      </c>
      <c r="E8" s="33">
        <f>C30*'E Balans VL '!I18/100/3.6*1000000</f>
        <v>589.35508596046498</v>
      </c>
      <c r="F8" s="33">
        <f>C30*'E Balans VL '!L18/100/3.6*1000000+C30*'E Balans VL '!N18/100/3.6*1000000</f>
        <v>7985.82912118082</v>
      </c>
      <c r="G8" s="34"/>
      <c r="H8" s="33"/>
      <c r="I8" s="33"/>
      <c r="J8" s="40">
        <f>C30*'E Balans VL '!D18/100/3.6*1000000+C30*'E Balans VL '!E18/100/3.6*1000000</f>
        <v>103.62861469448522</v>
      </c>
      <c r="K8" s="33"/>
      <c r="L8" s="33"/>
      <c r="M8" s="33"/>
      <c r="N8" s="33">
        <f>C30*'E Balans VL '!Y18/100/3.6*1000000</f>
        <v>1553.4037193821412</v>
      </c>
      <c r="O8" s="33"/>
      <c r="P8" s="33"/>
      <c r="R8" s="32"/>
    </row>
    <row r="9" spans="1:18">
      <c r="A9" s="6" t="s">
        <v>32</v>
      </c>
      <c r="B9" s="37">
        <f t="shared" si="0"/>
        <v>68037.410781938917</v>
      </c>
      <c r="C9" s="33"/>
      <c r="D9" s="37">
        <f>IF( ISERROR(IND_andere_gas_kWh/1000),0,IND_andere_gas_kWh/1000)*0.903</f>
        <v>62273.943495582411</v>
      </c>
      <c r="E9" s="33">
        <f>C31*'E Balans VL '!I19/100/3.6*1000000</f>
        <v>214.46999897123479</v>
      </c>
      <c r="F9" s="33">
        <f>C31*'E Balans VL '!L19/100/3.6*1000000+C31*'E Balans VL '!N19/100/3.6*1000000</f>
        <v>41649.641314878143</v>
      </c>
      <c r="G9" s="34"/>
      <c r="H9" s="33"/>
      <c r="I9" s="33"/>
      <c r="J9" s="40">
        <f>C31*'E Balans VL '!D19/100/3.6*1000000+C31*'E Balans VL '!E19/100/3.6*1000000</f>
        <v>0</v>
      </c>
      <c r="K9" s="33"/>
      <c r="L9" s="33"/>
      <c r="M9" s="33"/>
      <c r="N9" s="33">
        <f>C31*'E Balans VL '!Y19/100/3.6*1000000</f>
        <v>2852.9010167025581</v>
      </c>
      <c r="O9" s="33"/>
      <c r="P9" s="33"/>
      <c r="R9" s="32"/>
    </row>
    <row r="10" spans="1:18">
      <c r="A10" s="6" t="s">
        <v>40</v>
      </c>
      <c r="B10" s="37">
        <f t="shared" si="0"/>
        <v>125956.18826464721</v>
      </c>
      <c r="C10" s="33"/>
      <c r="D10" s="37">
        <f>IF( ISERROR(IND_voed_gas_kWh/1000),0,IND_voed_gas_kWh/1000)*0.903</f>
        <v>193399.0683642056</v>
      </c>
      <c r="E10" s="33">
        <f>C32*'E Balans VL '!I20/100/3.6*1000000</f>
        <v>200.73879015415474</v>
      </c>
      <c r="F10" s="33">
        <f>C32*'E Balans VL '!L20/100/3.6*1000000+C32*'E Balans VL '!N20/100/3.6*1000000</f>
        <v>2046.4820770348722</v>
      </c>
      <c r="G10" s="34"/>
      <c r="H10" s="33"/>
      <c r="I10" s="33"/>
      <c r="J10" s="40">
        <f>C32*'E Balans VL '!D20/100/3.6*1000000+C32*'E Balans VL '!E20/100/3.6*1000000</f>
        <v>0</v>
      </c>
      <c r="K10" s="33"/>
      <c r="L10" s="33"/>
      <c r="M10" s="33"/>
      <c r="N10" s="33">
        <f>C32*'E Balans VL '!Y20/100/3.6*1000000</f>
        <v>3978.3254974475517</v>
      </c>
      <c r="O10" s="33"/>
      <c r="P10" s="33"/>
      <c r="R10" s="32"/>
    </row>
    <row r="11" spans="1:18">
      <c r="A11" s="6" t="s">
        <v>39</v>
      </c>
      <c r="B11" s="37">
        <f t="shared" si="0"/>
        <v>1828.71438831212</v>
      </c>
      <c r="C11" s="33"/>
      <c r="D11" s="37">
        <f>IF( ISERROR(IND_textiel_gas_kWh/1000),0,IND_textiel_gas_kWh/1000)*0.903</f>
        <v>1760.6091914244048</v>
      </c>
      <c r="E11" s="33">
        <f>C33*'E Balans VL '!I21/100/3.6*1000000</f>
        <v>2.6531304189418266</v>
      </c>
      <c r="F11" s="33">
        <f>C33*'E Balans VL '!L21/100/3.6*1000000+C33*'E Balans VL '!N21/100/3.6*1000000</f>
        <v>35.789115559646504</v>
      </c>
      <c r="G11" s="34"/>
      <c r="H11" s="33"/>
      <c r="I11" s="33"/>
      <c r="J11" s="40">
        <f>C33*'E Balans VL '!D21/100/3.6*1000000+C33*'E Balans VL '!E21/100/3.6*1000000</f>
        <v>0</v>
      </c>
      <c r="K11" s="33"/>
      <c r="L11" s="33"/>
      <c r="M11" s="33"/>
      <c r="N11" s="33">
        <f>C33*'E Balans VL '!Y21/100/3.6*1000000</f>
        <v>89.090814652532273</v>
      </c>
      <c r="O11" s="33"/>
      <c r="P11" s="33"/>
      <c r="R11" s="32"/>
    </row>
    <row r="12" spans="1:18">
      <c r="A12" s="6" t="s">
        <v>36</v>
      </c>
      <c r="B12" s="37">
        <f t="shared" si="0"/>
        <v>26951.568373782786</v>
      </c>
      <c r="C12" s="33"/>
      <c r="D12" s="37">
        <f>IF( ISERROR(IND_min_gas_kWh/1000),0,IND_min_gas_kWh/1000)*0.903</f>
        <v>12670.454704653373</v>
      </c>
      <c r="E12" s="33">
        <f>C34*'E Balans VL '!I22/100/3.6*1000000</f>
        <v>116.62673441350994</v>
      </c>
      <c r="F12" s="33">
        <f>C34*'E Balans VL '!L22/100/3.6*1000000+C34*'E Balans VL '!N22/100/3.6*1000000</f>
        <v>1029.0441503179759</v>
      </c>
      <c r="G12" s="34"/>
      <c r="H12" s="33"/>
      <c r="I12" s="33"/>
      <c r="J12" s="40">
        <f>C34*'E Balans VL '!D22/100/3.6*1000000+C34*'E Balans VL '!E22/100/3.6*1000000</f>
        <v>0</v>
      </c>
      <c r="K12" s="33"/>
      <c r="L12" s="33"/>
      <c r="M12" s="33"/>
      <c r="N12" s="33">
        <f>C34*'E Balans VL '!Y22/100/3.6*1000000</f>
        <v>4597.3304420565228</v>
      </c>
      <c r="O12" s="33"/>
      <c r="P12" s="33"/>
      <c r="R12" s="32"/>
    </row>
    <row r="13" spans="1:18">
      <c r="A13" s="6" t="s">
        <v>38</v>
      </c>
      <c r="B13" s="37">
        <f t="shared" si="0"/>
        <v>4464.1774474193799</v>
      </c>
      <c r="C13" s="33"/>
      <c r="D13" s="37">
        <f>IF( ISERROR(IND_papier_gas_kWh/1000),0,IND_papier_gas_kWh/1000)*0.903</f>
        <v>7480.1843180834521</v>
      </c>
      <c r="E13" s="33">
        <f>C35*'E Balans VL '!I23/100/3.6*1000000</f>
        <v>0</v>
      </c>
      <c r="F13" s="33">
        <f>C35*'E Balans VL '!L23/100/3.6*1000000+C35*'E Balans VL '!N23/100/3.6*1000000</f>
        <v>0.19340892491101302</v>
      </c>
      <c r="G13" s="34"/>
      <c r="H13" s="33"/>
      <c r="I13" s="33"/>
      <c r="J13" s="40">
        <f>C35*'E Balans VL '!D23/100/3.6*1000000+C35*'E Balans VL '!E23/100/3.6*1000000</f>
        <v>0.12300937950847068</v>
      </c>
      <c r="K13" s="33"/>
      <c r="L13" s="33"/>
      <c r="M13" s="33"/>
      <c r="N13" s="33">
        <f>C35*'E Balans VL '!Y23/100/3.6*1000000</f>
        <v>0</v>
      </c>
      <c r="O13" s="33"/>
      <c r="P13" s="33"/>
      <c r="R13" s="32"/>
    </row>
    <row r="14" spans="1:18">
      <c r="A14" s="6" t="s">
        <v>33</v>
      </c>
      <c r="B14" s="37">
        <f t="shared" si="0"/>
        <v>9081.8173555876492</v>
      </c>
      <c r="C14" s="33"/>
      <c r="D14" s="37">
        <f>IF( ISERROR(IND_chemie_gas_kWh/1000),0,IND_chemie_gas_kWh/1000)*0.903</f>
        <v>14990.837649048843</v>
      </c>
      <c r="E14" s="33">
        <f>C36*'E Balans VL '!I24/100/3.6*1000000</f>
        <v>531.1337886325507</v>
      </c>
      <c r="F14" s="33">
        <f>C36*'E Balans VL '!L24/100/3.6*1000000+C36*'E Balans VL '!N24/100/3.6*1000000</f>
        <v>64.235459506576262</v>
      </c>
      <c r="G14" s="34"/>
      <c r="H14" s="33"/>
      <c r="I14" s="33"/>
      <c r="J14" s="40">
        <f>C36*'E Balans VL '!D24/100/3.6*1000000+C36*'E Balans VL '!E24/100/3.6*1000000</f>
        <v>0</v>
      </c>
      <c r="K14" s="33"/>
      <c r="L14" s="33"/>
      <c r="M14" s="33"/>
      <c r="N14" s="33">
        <f>C36*'E Balans VL '!Y24/100/3.6*1000000</f>
        <v>0.61207938706148346</v>
      </c>
      <c r="O14" s="33"/>
      <c r="P14" s="33"/>
      <c r="R14" s="32"/>
    </row>
    <row r="15" spans="1:18">
      <c r="A15" s="6" t="s">
        <v>265</v>
      </c>
      <c r="B15" s="37">
        <f t="shared" si="0"/>
        <v>0</v>
      </c>
      <c r="C15" s="33"/>
      <c r="D15" s="37">
        <f>IF( ISERROR(IND_rest_gas_kWh/1000),0,IND_rest_gas_kWh/1000)*0.903</f>
        <v>24.731733470352157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energieproductie'!N51+'lokale energieproductie'!N43</f>
        <v>3627</v>
      </c>
      <c r="C16" s="243">
        <f>'lokale energieproductie'!O51+'lokale energieproductie'!O43</f>
        <v>5181.4285714285716</v>
      </c>
      <c r="D16" s="304">
        <f>('lokale energieproductie'!P43+'lokale energieproductie'!P51)*(-1)</f>
        <v>-10362.857142857143</v>
      </c>
      <c r="E16" s="244"/>
      <c r="F16" s="304">
        <f>('lokale energieproductie'!S43+'lokale energieproductie'!S51)*(-1)</f>
        <v>0</v>
      </c>
      <c r="G16" s="245"/>
      <c r="H16" s="244"/>
      <c r="I16" s="244"/>
      <c r="J16" s="244"/>
      <c r="K16" s="244"/>
      <c r="L16" s="304">
        <f>('lokale energieproductie'!T43+'lokale energieproductie'!U43+'lokale energieproductie'!T51+'lokale energieproductie'!U51)*(-1)</f>
        <v>0</v>
      </c>
      <c r="M16" s="244"/>
      <c r="N16" s="304">
        <f>('lokale energieproductie'!Q43+'lokale energieproductie'!R43+'lokale energieproductie'!V43+'lokale energieproductie'!Q51+'lokale energieproductie'!R51+'lokale energieproductie'!V51)*(-1)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358169.09601998818</v>
      </c>
      <c r="C18" s="21">
        <f>C5+C16</f>
        <v>5181.4285714285716</v>
      </c>
      <c r="D18" s="21">
        <f>MAX((D5+D16),0)</f>
        <v>322887.00888808654</v>
      </c>
      <c r="E18" s="21">
        <f>MAX((E5+E16),0)</f>
        <v>1655.7400712265649</v>
      </c>
      <c r="F18" s="21">
        <f>MAX((F5+F16),0)</f>
        <v>52823.617107845021</v>
      </c>
      <c r="G18" s="21"/>
      <c r="H18" s="21"/>
      <c r="I18" s="21"/>
      <c r="J18" s="21">
        <f>MAX((J5+J16),0)</f>
        <v>139.05254683401807</v>
      </c>
      <c r="K18" s="21"/>
      <c r="L18" s="21">
        <f>MAX((L5+L16),0)</f>
        <v>0</v>
      </c>
      <c r="M18" s="21"/>
      <c r="N18" s="21">
        <f>MAX((N5+N16),0)</f>
        <v>13071.663569628367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0.19331793415124307</v>
      </c>
      <c r="C20" s="25">
        <f ca="1">'EF ele_warmte'!B22</f>
        <v>0.23760845408320727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69240.509719402326</v>
      </c>
      <c r="C22" s="23">
        <f ca="1">C18*C20</f>
        <v>1231.1512327997041</v>
      </c>
      <c r="D22" s="23">
        <f>D18*D20</f>
        <v>65223.175795393487</v>
      </c>
      <c r="E22" s="23">
        <f>E18*E20</f>
        <v>375.85299616843025</v>
      </c>
      <c r="F22" s="23">
        <f>F18*F20</f>
        <v>14103.905767794622</v>
      </c>
      <c r="G22" s="23"/>
      <c r="H22" s="23"/>
      <c r="I22" s="23"/>
      <c r="J22" s="23">
        <f>J18*J20</f>
        <v>49.224601579242396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1301.3128248407961</v>
      </c>
      <c r="C29" s="39">
        <f>IF(ISERROR(B29*3.6/1000000/'E Balans VL '!Z17*100),0,B29*3.6/1000000/'E Balans VL '!Z17*100)</f>
        <v>6.7020352357141363E-2</v>
      </c>
      <c r="D29" s="233" t="s">
        <v>691</v>
      </c>
    </row>
    <row r="30" spans="1:18">
      <c r="A30" s="168" t="s">
        <v>35</v>
      </c>
      <c r="B30" s="37">
        <f>IF( ISERROR(IND_metaal_ele_kWh/1000),0,IND_metaal_ele_kWh/1000)</f>
        <v>116885.10351574901</v>
      </c>
      <c r="C30" s="39">
        <f>IF(ISERROR(B30*3.6/1000000/'E Balans VL '!Z18*100),0,B30*3.6/1000000/'E Balans VL '!Z18*100)</f>
        <v>5.8019131088669624</v>
      </c>
      <c r="D30" s="233" t="s">
        <v>691</v>
      </c>
    </row>
    <row r="31" spans="1:18">
      <c r="A31" s="6" t="s">
        <v>32</v>
      </c>
      <c r="B31" s="37">
        <f>IF( ISERROR(IND_ander_ele_kWh/1000),0,IND_ander_ele_kWh/1000)</f>
        <v>68037.410781938917</v>
      </c>
      <c r="C31" s="39">
        <f>IF(ISERROR(B31*3.6/1000000/'E Balans VL '!Z19*100),0,B31*3.6/1000000/'E Balans VL '!Z19*100)</f>
        <v>2.2959139686251588</v>
      </c>
      <c r="D31" s="233" t="s">
        <v>691</v>
      </c>
    </row>
    <row r="32" spans="1:18">
      <c r="A32" s="168" t="s">
        <v>40</v>
      </c>
      <c r="B32" s="37">
        <f>IF( ISERROR(IND_voed_ele_kWh/1000),0,IND_voed_ele_kWh/1000)</f>
        <v>125956.18826464721</v>
      </c>
      <c r="C32" s="39">
        <f>IF(ISERROR(B32*3.6/1000000/'E Balans VL '!Z20*100),0,B32*3.6/1000000/'E Balans VL '!Z20*100)</f>
        <v>2.9579945596064432</v>
      </c>
      <c r="D32" s="233" t="s">
        <v>691</v>
      </c>
    </row>
    <row r="33" spans="1:5">
      <c r="A33" s="168" t="s">
        <v>39</v>
      </c>
      <c r="B33" s="37">
        <f>IF( ISERROR(IND_textiel_ele_kWh/1000),0,IND_textiel_ele_kWh/1000)</f>
        <v>1828.71438831212</v>
      </c>
      <c r="C33" s="39">
        <f>IF(ISERROR(B33*3.6/1000000/'E Balans VL '!Z21*100),0,B33*3.6/1000000/'E Balans VL '!Z21*100)</f>
        <v>0.20069908611453194</v>
      </c>
      <c r="D33" s="233" t="s">
        <v>691</v>
      </c>
    </row>
    <row r="34" spans="1:5">
      <c r="A34" s="168" t="s">
        <v>36</v>
      </c>
      <c r="B34" s="37">
        <f>IF( ISERROR(IND_min_ele_kWh/1000),0,IND_min_ele_kWh/1000)</f>
        <v>26951.568373782786</v>
      </c>
      <c r="C34" s="39">
        <f>IF(ISERROR(B34*3.6/1000000/'E Balans VL '!Z22*100),0,B34*3.6/1000000/'E Balans VL '!Z22*100)</f>
        <v>3.8236394492729286</v>
      </c>
      <c r="D34" s="233" t="s">
        <v>691</v>
      </c>
    </row>
    <row r="35" spans="1:5">
      <c r="A35" s="168" t="s">
        <v>38</v>
      </c>
      <c r="B35" s="37">
        <f>IF( ISERROR(IND_papier_ele_kWh/1000),0,IND_papier_ele_kWh/1000)</f>
        <v>4464.1774474193799</v>
      </c>
      <c r="C35" s="39">
        <f>IF(ISERROR(B35*3.6/1000000/'E Balans VL '!Z22*100),0,B35*3.6/1000000/'E Balans VL '!Z22*100)</f>
        <v>0.63333624076258144</v>
      </c>
      <c r="D35" s="233" t="s">
        <v>691</v>
      </c>
    </row>
    <row r="36" spans="1:5">
      <c r="A36" s="168" t="s">
        <v>33</v>
      </c>
      <c r="B36" s="37">
        <f>IF( ISERROR(IND_chemie_ele_kWh/1000),0,IND_chemie_ele_kWh/1000)</f>
        <v>9081.8173555876492</v>
      </c>
      <c r="C36" s="39">
        <f>IF(ISERROR(B36*3.6/1000000/'E Balans VL '!Z24*100),0,B36*3.6/1000000/'E Balans VL '!Z24*100)</f>
        <v>8.2931343373026878E-2</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21261.148114845601</v>
      </c>
      <c r="C5" s="17">
        <f>'Eigen informatie GS &amp; warmtenet'!B62</f>
        <v>0</v>
      </c>
      <c r="D5" s="30">
        <f>IF(ISERROR(SUM(LB_lb_gas_kWh,LB_rest_gas_kWh)/1000),0,SUM(LB_lb_gas_kWh,LB_rest_gas_kWh)/1000)*0.903</f>
        <v>16899.974837330345</v>
      </c>
      <c r="E5" s="17">
        <f>B17*'E Balans VL '!I25/3.6*1000000/100</f>
        <v>792.8932464154808</v>
      </c>
      <c r="F5" s="17">
        <f>B17*('E Balans VL '!L25/3.6*1000000+'E Balans VL '!N25/3.6*1000000)/100</f>
        <v>68979.380115583102</v>
      </c>
      <c r="G5" s="18"/>
      <c r="H5" s="17"/>
      <c r="I5" s="17"/>
      <c r="J5" s="17">
        <f>('E Balans VL '!D25+'E Balans VL '!E25)/3.6*1000000*landbouw!B17/100</f>
        <v>5581.1563444607673</v>
      </c>
      <c r="K5" s="17"/>
      <c r="L5" s="17">
        <f>L6*(-1)</f>
        <v>0</v>
      </c>
      <c r="M5" s="17"/>
      <c r="N5" s="17">
        <f>N6*(-1)</f>
        <v>0</v>
      </c>
      <c r="O5" s="17"/>
      <c r="P5" s="17"/>
      <c r="R5" s="32"/>
    </row>
    <row r="6" spans="1:18">
      <c r="A6" s="16" t="s">
        <v>473</v>
      </c>
      <c r="B6" s="17" t="s">
        <v>210</v>
      </c>
      <c r="C6" s="17">
        <f>'lokale energieproductie'!O53+'lokale energieproductie'!O45</f>
        <v>0</v>
      </c>
      <c r="D6" s="304">
        <f>('lokale energieproductie'!P45+'lokale energieproductie'!P53)*(-1)</f>
        <v>0</v>
      </c>
      <c r="E6" s="244"/>
      <c r="F6" s="304">
        <f>('lokale energieproductie'!S45+'lokale energieproductie'!S53)*(-1)</f>
        <v>0</v>
      </c>
      <c r="G6" s="245"/>
      <c r="H6" s="244"/>
      <c r="I6" s="244"/>
      <c r="J6" s="244"/>
      <c r="K6" s="244"/>
      <c r="L6" s="304">
        <f>('lokale energieproductie'!T45+'lokale energieproductie'!U45+'lokale energieproductie'!T53+'lokale energieproductie'!U53)*(-1)</f>
        <v>0</v>
      </c>
      <c r="M6" s="244"/>
      <c r="N6" s="304">
        <f>('lokale energieproductie'!V45+'lokale energieproductie'!R45+'lokale energieproductie'!Q45+'lokale energieproductie'!Q53+'lokale energieproductie'!R53+'lokale energieproductie'!V53)*(-1)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21261.148114845601</v>
      </c>
      <c r="C8" s="21">
        <f>C5+C6</f>
        <v>0</v>
      </c>
      <c r="D8" s="21">
        <f>MAX((D5+D6),0)</f>
        <v>16899.974837330345</v>
      </c>
      <c r="E8" s="21">
        <f>MAX((E5+E6),0)</f>
        <v>792.8932464154808</v>
      </c>
      <c r="F8" s="21">
        <f>MAX((F5+F6),0)</f>
        <v>68979.380115583102</v>
      </c>
      <c r="G8" s="21"/>
      <c r="H8" s="21"/>
      <c r="I8" s="21"/>
      <c r="J8" s="21">
        <f>MAX((J5+J6),0)</f>
        <v>5581.1563444607673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0.19331793415124307</v>
      </c>
      <c r="C10" s="31">
        <f ca="1">'EF ele_warmte'!B22</f>
        <v>0.23760845408320727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4110.1612312455472</v>
      </c>
      <c r="C12" s="23">
        <f ca="1">C8*C10</f>
        <v>0</v>
      </c>
      <c r="D12" s="23">
        <f>D8*D10</f>
        <v>3413.7949171407299</v>
      </c>
      <c r="E12" s="23">
        <f>E8*E10</f>
        <v>179.98676693631415</v>
      </c>
      <c r="F12" s="23">
        <f>F8*F10</f>
        <v>18417.494490860689</v>
      </c>
      <c r="G12" s="23"/>
      <c r="H12" s="23"/>
      <c r="I12" s="23"/>
      <c r="J12" s="23">
        <f>J8*J10</f>
        <v>1975.7293459391115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2.9201632122178087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64.801661778076948</v>
      </c>
      <c r="C26" s="243">
        <f>B26*'GWP N2O_CH4'!B5</f>
        <v>1360.834897339616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5.8334208641487368</v>
      </c>
      <c r="C27" s="243">
        <f>B27*'GWP N2O_CH4'!B5</f>
        <v>122.50183814712348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0.87957101544652028</v>
      </c>
      <c r="C28" s="243">
        <f>B28*'GWP N2O_CH4'!B4</f>
        <v>272.66701478842128</v>
      </c>
      <c r="D28" s="50"/>
    </row>
    <row r="29" spans="1:4">
      <c r="A29" s="41" t="s">
        <v>272</v>
      </c>
      <c r="B29" s="243">
        <f>B34*'ha_N2O bodem landbouw'!B4</f>
        <v>8.2829418327921935</v>
      </c>
      <c r="C29" s="243">
        <f>B29*'GWP N2O_CH4'!B4</f>
        <v>2567.7119681655799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1.8877060982169964E-3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1.7363314472502243E-2</v>
      </c>
      <c r="C5" s="434" t="s">
        <v>210</v>
      </c>
      <c r="D5" s="419">
        <f>SUM(D6:D11)</f>
        <v>2.7894385788835619E-2</v>
      </c>
      <c r="E5" s="419">
        <f>SUM(E6:E11)</f>
        <v>1.7156738843378622E-2</v>
      </c>
      <c r="F5" s="432" t="s">
        <v>210</v>
      </c>
      <c r="G5" s="419">
        <f>SUM(G6:G11)</f>
        <v>8.37964214459301</v>
      </c>
      <c r="H5" s="419">
        <f>SUM(H6:H11)</f>
        <v>1.7382284483238961</v>
      </c>
      <c r="I5" s="434" t="s">
        <v>210</v>
      </c>
      <c r="J5" s="434" t="s">
        <v>210</v>
      </c>
      <c r="K5" s="434" t="s">
        <v>210</v>
      </c>
      <c r="L5" s="434" t="s">
        <v>210</v>
      </c>
      <c r="M5" s="419">
        <f>SUM(M6:M11)</f>
        <v>0.59262025621079473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4.2944518421996272E-3</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7.4624070464661997E-3</v>
      </c>
      <c r="E6" s="885">
        <f>vkm_GW_PW*SUMIFS(TableVerdeelsleutelVkm[LPG],TableVerdeelsleutelVkm[Voertuigtype],"Lichte voertuigen")*SUMIFS(TableECFTransport[EnergieConsumptieFactor (PJ per km)],TableECFTransport[Index],CONCATENATE($A6,"_LPG_LPG"))</f>
        <v>4.1495851136471853E-3</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1.2469897806698909</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0.45465664275647033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0.10181371152471108</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1.2329052864979977E-5</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0.51026864836974095</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5.1910480308285548E-6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2.8728911586000484E-2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2.5540100755472262E-3</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5.6983595316061567E-3</v>
      </c>
      <c r="E8" s="422">
        <f>vkm_NGW_PW*SUMIFS(TableVerdeelsleutelVkm[LPG],TableVerdeelsleutelVkm[Voertuigtype],"Lichte voertuigen")*SUMIFS(TableECFTransport[EnergieConsumptieFactor (PJ per km)],TableECFTransport[Index],CONCATENATE($A8,"_LPG_LPG"))</f>
        <v>3.0349344790714414E-3</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0.8393382584786464</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0.34292878741634664</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7.1095413540049543E-2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3.0421031363862847E-6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0.16213635629823656</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1.5460221527457551E-6</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9.1285196362336594E-3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1.042540030556152E-2</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1.4733619210763263E-2</v>
      </c>
      <c r="E10" s="422">
        <f>vkm_SW_PW*SUMIFS(TableVerdeelsleutelVkm[LPG],TableVerdeelsleutelVkm[Voertuigtype],"Lichte voertuigen")*SUMIFS(TableECFTransport[EnergieConsumptieFactor (PJ per km)],TableECFTransport[Index],CONCATENATE($A10,"_LPG_LPG"))</f>
        <v>9.9722192506599954E-3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2.7243650444269956</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0.94060417678464381</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0.21877362060054711</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7.4081093192501904E-5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2.8965440563495002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3.2104296251670673E-5</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0.16308007932325291</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4823.1429090284009</v>
      </c>
      <c r="C14" s="21"/>
      <c r="D14" s="21">
        <f t="shared" ref="D14:M14" si="0">((D5)*10^9/3600)+D12</f>
        <v>7748.4404968987828</v>
      </c>
      <c r="E14" s="21">
        <f t="shared" si="0"/>
        <v>4765.7607898273955</v>
      </c>
      <c r="F14" s="21"/>
      <c r="G14" s="21">
        <f t="shared" si="0"/>
        <v>2327678.3734980584</v>
      </c>
      <c r="H14" s="21">
        <f t="shared" si="0"/>
        <v>482841.23564552673</v>
      </c>
      <c r="I14" s="21"/>
      <c r="J14" s="21"/>
      <c r="K14" s="21"/>
      <c r="L14" s="21"/>
      <c r="M14" s="21">
        <f t="shared" si="0"/>
        <v>164616.73783633186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0.19331793415124307</v>
      </c>
      <c r="C16" s="56">
        <f ca="1">'EF ele_warmte'!B22</f>
        <v>0.23760845408320727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932.40002328958735</v>
      </c>
      <c r="C18" s="23"/>
      <c r="D18" s="23">
        <f t="shared" ref="D18:M18" si="1">D14*D16</f>
        <v>1565.1849803735543</v>
      </c>
      <c r="E18" s="23">
        <f t="shared" si="1"/>
        <v>1081.8276992908188</v>
      </c>
      <c r="F18" s="23"/>
      <c r="G18" s="23">
        <f t="shared" si="1"/>
        <v>621490.12572398165</v>
      </c>
      <c r="H18" s="23">
        <f t="shared" si="1"/>
        <v>120227.46767573616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0.12281326477489939</v>
      </c>
      <c r="C50" s="315">
        <f t="shared" ref="C50:P50" si="2">SUM(C51:C52)</f>
        <v>0</v>
      </c>
      <c r="D50" s="315">
        <f t="shared" si="2"/>
        <v>0</v>
      </c>
      <c r="E50" s="315">
        <f t="shared" si="2"/>
        <v>0</v>
      </c>
      <c r="F50" s="315">
        <f t="shared" si="2"/>
        <v>0</v>
      </c>
      <c r="G50" s="315">
        <f t="shared" si="2"/>
        <v>0.15704686317882285</v>
      </c>
      <c r="H50" s="315">
        <f t="shared" si="2"/>
        <v>0</v>
      </c>
      <c r="I50" s="315">
        <f t="shared" si="2"/>
        <v>0</v>
      </c>
      <c r="J50" s="315">
        <f t="shared" si="2"/>
        <v>0</v>
      </c>
      <c r="K50" s="315">
        <f t="shared" si="2"/>
        <v>0</v>
      </c>
      <c r="L50" s="315">
        <f t="shared" si="2"/>
        <v>0</v>
      </c>
      <c r="M50" s="315">
        <f t="shared" si="2"/>
        <v>8.6719069528995683E-3</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2.2002077560857231E-3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0.15704686317882285</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8.6719069528995683E-3</v>
      </c>
      <c r="N51" s="317"/>
      <c r="O51" s="317"/>
      <c r="P51" s="320"/>
    </row>
    <row r="52" spans="1:18">
      <c r="A52" s="4" t="s">
        <v>324</v>
      </c>
      <c r="B52" s="886">
        <f>vkm_tram*SUMIFS(TableECFTransport[EnergieConsumptieFactor (PJ per km)],TableECFTransport[Index],"Tram_gemiddeld_Electric_Electric")</f>
        <v>0.12061305701881367</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34114.795770805387</v>
      </c>
      <c r="C54" s="21">
        <f t="shared" ref="C54:P54" si="3">(C50)*10^9/3600</f>
        <v>0</v>
      </c>
      <c r="D54" s="21">
        <f t="shared" si="3"/>
        <v>0</v>
      </c>
      <c r="E54" s="21">
        <f t="shared" si="3"/>
        <v>0</v>
      </c>
      <c r="F54" s="21">
        <f t="shared" si="3"/>
        <v>0</v>
      </c>
      <c r="G54" s="21">
        <f t="shared" si="3"/>
        <v>43624.128660784125</v>
      </c>
      <c r="H54" s="21">
        <f t="shared" si="3"/>
        <v>0</v>
      </c>
      <c r="I54" s="21">
        <f t="shared" si="3"/>
        <v>0</v>
      </c>
      <c r="J54" s="21">
        <f t="shared" si="3"/>
        <v>0</v>
      </c>
      <c r="K54" s="21">
        <f t="shared" si="3"/>
        <v>0</v>
      </c>
      <c r="L54" s="21">
        <f t="shared" si="3"/>
        <v>0</v>
      </c>
      <c r="M54" s="21">
        <f t="shared" si="3"/>
        <v>2408.8630424721023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0.19331793415124307</v>
      </c>
      <c r="C56" s="56">
        <f ca="1">'EF ele_warmte'!B22</f>
        <v>0.23760845408320727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6595.0018424036616</v>
      </c>
      <c r="C58" s="23">
        <f t="shared" ref="C58:P58" ca="1" si="4">C54*C56</f>
        <v>0</v>
      </c>
      <c r="D58" s="23">
        <f t="shared" si="4"/>
        <v>0</v>
      </c>
      <c r="E58" s="23">
        <f t="shared" si="4"/>
        <v>0</v>
      </c>
      <c r="F58" s="23">
        <f t="shared" si="4"/>
        <v>0</v>
      </c>
      <c r="G58" s="23">
        <f t="shared" si="4"/>
        <v>11647.642352429362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5"/>
  <sheetViews>
    <sheetView showGridLines="0" topLeftCell="A85" zoomScale="65" zoomScaleNormal="65" workbookViewId="0">
      <selection activeCell="M41" sqref="M4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194060.80539618534</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69511.907154830056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N42</f>
        <v>11646.25</v>
      </c>
      <c r="C8" s="544">
        <f>B62</f>
        <v>13699.244843398772</v>
      </c>
      <c r="D8" s="545"/>
      <c r="E8" s="545">
        <f>E62</f>
        <v>0</v>
      </c>
      <c r="F8" s="546"/>
      <c r="G8" s="547"/>
      <c r="H8" s="545">
        <f>I62</f>
        <v>0</v>
      </c>
      <c r="I8" s="545">
        <f>G62+F62</f>
        <v>0</v>
      </c>
      <c r="J8" s="545">
        <f>H62+D62+C62</f>
        <v>0</v>
      </c>
      <c r="K8" s="545"/>
      <c r="L8" s="545"/>
      <c r="M8" s="545"/>
      <c r="N8" s="548"/>
      <c r="O8" s="549">
        <f>C8*$C$12+D8*$D$12+E8*$E$12+F8*$F$12+G8*$G$12+H8*$H$12+I8*$I$12+J8*$J$12</f>
        <v>2767.2474583665521</v>
      </c>
      <c r="P8" s="1253"/>
      <c r="Q8" s="1254"/>
      <c r="S8" s="539"/>
      <c r="T8" s="1241"/>
      <c r="U8" s="1241"/>
    </row>
    <row r="9" spans="1:21" s="530" customFormat="1" ht="17.45" customHeight="1" thickBot="1">
      <c r="A9" s="550" t="s">
        <v>243</v>
      </c>
      <c r="B9" s="551">
        <f>N50+'Eigen informatie GS &amp; warmtenet'!B12</f>
        <v>19768.5</v>
      </c>
      <c r="C9" s="552">
        <f>P50+IF(ISERROR(('Eigen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S50+IF(ISERROR('Eigen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W50+IF(ISERROR('Eigen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(T50+U50)+IF(ISERROR('Eigen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V50+Q50+R50+IF(ISERROR('Eigen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294987.46255101543</v>
      </c>
      <c r="C10" s="559">
        <f t="shared" ref="C10:L10" si="0">SUM(C8:C9)</f>
        <v>13699.244843398772</v>
      </c>
      <c r="D10" s="559">
        <f t="shared" si="0"/>
        <v>0</v>
      </c>
      <c r="E10" s="559">
        <f t="shared" si="0"/>
        <v>0</v>
      </c>
      <c r="F10" s="559">
        <f t="shared" si="0"/>
        <v>0</v>
      </c>
      <c r="G10" s="559">
        <f t="shared" si="0"/>
        <v>0</v>
      </c>
      <c r="H10" s="559">
        <f t="shared" si="0"/>
        <v>0</v>
      </c>
      <c r="I10" s="559">
        <f t="shared" si="0"/>
        <v>0</v>
      </c>
      <c r="J10" s="559">
        <f t="shared" si="0"/>
        <v>56481.428571428572</v>
      </c>
      <c r="K10" s="559">
        <f t="shared" si="0"/>
        <v>0</v>
      </c>
      <c r="L10" s="559">
        <f t="shared" si="0"/>
        <v>0</v>
      </c>
      <c r="M10" s="960"/>
      <c r="N10" s="960"/>
      <c r="O10" s="560">
        <f>SUM(O4:O9)</f>
        <v>2767.2474583665521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O42</f>
        <v>16637.631274131276</v>
      </c>
      <c r="C17" s="575">
        <f>B63</f>
        <v>19570.504191350265</v>
      </c>
      <c r="D17" s="576"/>
      <c r="E17" s="576">
        <f>E63</f>
        <v>0</v>
      </c>
      <c r="F17" s="577"/>
      <c r="G17" s="578"/>
      <c r="H17" s="575">
        <f>I63</f>
        <v>0</v>
      </c>
      <c r="I17" s="576">
        <f>G63+F63</f>
        <v>0</v>
      </c>
      <c r="J17" s="576">
        <f>H63+D63+C63</f>
        <v>0</v>
      </c>
      <c r="K17" s="576"/>
      <c r="L17" s="576"/>
      <c r="M17" s="576"/>
      <c r="N17" s="961"/>
      <c r="O17" s="579">
        <f>C17*$C$22+E17*$E$22+H17*$H$22+I17*$I$22+J17*$J$22+D17*$D$22+F17*$F$22+G17*$G$22+K17*$K$22+L17*$L$22</f>
        <v>3953.2418466527538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16637.631274131276</v>
      </c>
      <c r="C20" s="558">
        <f>SUM(C17:C19)</f>
        <v>19570.504191350265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3953.2418466527538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51">
      <c r="A28" s="588"/>
      <c r="B28" s="786">
        <v>11002</v>
      </c>
      <c r="C28" s="786">
        <v>2018</v>
      </c>
      <c r="D28" s="636" t="s">
        <v>883</v>
      </c>
      <c r="E28" s="635" t="s">
        <v>884</v>
      </c>
      <c r="F28" s="635" t="s">
        <v>885</v>
      </c>
      <c r="G28" s="635" t="s">
        <v>886</v>
      </c>
      <c r="H28" s="635" t="s">
        <v>887</v>
      </c>
      <c r="I28" s="635" t="s">
        <v>884</v>
      </c>
      <c r="J28" s="785">
        <v>39370</v>
      </c>
      <c r="K28" s="785">
        <v>39448</v>
      </c>
      <c r="L28" s="635" t="s">
        <v>888</v>
      </c>
      <c r="M28" s="635">
        <v>220</v>
      </c>
      <c r="N28" s="635">
        <v>990</v>
      </c>
      <c r="O28" s="635">
        <v>1414.2857142857142</v>
      </c>
      <c r="P28" s="635">
        <v>2828.5714285714289</v>
      </c>
      <c r="Q28" s="635">
        <v>0</v>
      </c>
      <c r="R28" s="635">
        <v>0</v>
      </c>
      <c r="S28" s="635">
        <v>0</v>
      </c>
      <c r="T28" s="635">
        <v>0</v>
      </c>
      <c r="U28" s="635">
        <v>0</v>
      </c>
      <c r="V28" s="635">
        <v>0</v>
      </c>
      <c r="W28" s="635">
        <v>0</v>
      </c>
      <c r="X28" s="635">
        <v>1500</v>
      </c>
      <c r="Y28" s="635" t="s">
        <v>50</v>
      </c>
      <c r="Z28" s="637" t="s">
        <v>155</v>
      </c>
    </row>
    <row r="29" spans="1:26" s="589" customFormat="1" ht="25.5">
      <c r="A29" s="588"/>
      <c r="B29" s="786">
        <v>11002</v>
      </c>
      <c r="C29" s="786">
        <v>2170</v>
      </c>
      <c r="D29" s="636" t="s">
        <v>889</v>
      </c>
      <c r="E29" s="635" t="s">
        <v>890</v>
      </c>
      <c r="F29" s="635" t="s">
        <v>891</v>
      </c>
      <c r="G29" s="635" t="s">
        <v>886</v>
      </c>
      <c r="H29" s="635" t="s">
        <v>887</v>
      </c>
      <c r="I29" s="635" t="s">
        <v>890</v>
      </c>
      <c r="J29" s="785">
        <v>39797</v>
      </c>
      <c r="K29" s="785">
        <v>39812</v>
      </c>
      <c r="L29" s="635" t="s">
        <v>888</v>
      </c>
      <c r="M29" s="635">
        <v>806</v>
      </c>
      <c r="N29" s="635">
        <v>3627</v>
      </c>
      <c r="O29" s="635">
        <v>5181.4285714285716</v>
      </c>
      <c r="P29" s="635">
        <v>10362.857142857143</v>
      </c>
      <c r="Q29" s="635">
        <v>0</v>
      </c>
      <c r="R29" s="635">
        <v>0</v>
      </c>
      <c r="S29" s="635">
        <v>0</v>
      </c>
      <c r="T29" s="635">
        <v>0</v>
      </c>
      <c r="U29" s="635">
        <v>0</v>
      </c>
      <c r="V29" s="635">
        <v>0</v>
      </c>
      <c r="W29" s="635">
        <v>0</v>
      </c>
      <c r="X29" s="635">
        <v>500</v>
      </c>
      <c r="Y29" s="635" t="s">
        <v>40</v>
      </c>
      <c r="Z29" s="637" t="s">
        <v>379</v>
      </c>
    </row>
    <row r="30" spans="1:26" s="589" customFormat="1" ht="51">
      <c r="A30" s="588"/>
      <c r="B30" s="786">
        <v>11002</v>
      </c>
      <c r="C30" s="786">
        <v>2020</v>
      </c>
      <c r="D30" s="636" t="s">
        <v>892</v>
      </c>
      <c r="E30" s="635" t="s">
        <v>893</v>
      </c>
      <c r="F30" s="635" t="s">
        <v>894</v>
      </c>
      <c r="G30" s="635" t="s">
        <v>886</v>
      </c>
      <c r="H30" s="635" t="s">
        <v>887</v>
      </c>
      <c r="I30" s="635" t="s">
        <v>893</v>
      </c>
      <c r="J30" s="785">
        <v>40483</v>
      </c>
      <c r="K30" s="785">
        <v>40603</v>
      </c>
      <c r="L30" s="635" t="s">
        <v>888</v>
      </c>
      <c r="M30" s="635">
        <v>834</v>
      </c>
      <c r="N30" s="635">
        <v>3753</v>
      </c>
      <c r="O30" s="635">
        <v>5361.4285714285716</v>
      </c>
      <c r="P30" s="635">
        <v>10722.857142857143</v>
      </c>
      <c r="Q30" s="635">
        <v>0</v>
      </c>
      <c r="R30" s="635">
        <v>0</v>
      </c>
      <c r="S30" s="635">
        <v>0</v>
      </c>
      <c r="T30" s="635">
        <v>0</v>
      </c>
      <c r="U30" s="635">
        <v>0</v>
      </c>
      <c r="V30" s="635">
        <v>0</v>
      </c>
      <c r="W30" s="635">
        <v>0</v>
      </c>
      <c r="X30" s="635">
        <v>1500</v>
      </c>
      <c r="Y30" s="635" t="s">
        <v>50</v>
      </c>
      <c r="Z30" s="637" t="s">
        <v>155</v>
      </c>
    </row>
    <row r="31" spans="1:26" s="589" customFormat="1" ht="51">
      <c r="A31" s="588"/>
      <c r="B31" s="786">
        <v>11002</v>
      </c>
      <c r="C31" s="786">
        <v>2018</v>
      </c>
      <c r="D31" s="636" t="s">
        <v>895</v>
      </c>
      <c r="E31" s="635" t="s">
        <v>896</v>
      </c>
      <c r="F31" s="635" t="s">
        <v>897</v>
      </c>
      <c r="G31" s="635" t="s">
        <v>886</v>
      </c>
      <c r="H31" s="635" t="s">
        <v>887</v>
      </c>
      <c r="I31" s="635" t="s">
        <v>896</v>
      </c>
      <c r="J31" s="785">
        <v>40470</v>
      </c>
      <c r="K31" s="785">
        <v>40756</v>
      </c>
      <c r="L31" s="635" t="s">
        <v>888</v>
      </c>
      <c r="M31" s="635">
        <v>60</v>
      </c>
      <c r="N31" s="635">
        <v>270</v>
      </c>
      <c r="O31" s="635">
        <v>385.71428571428572</v>
      </c>
      <c r="P31" s="635">
        <v>771.42857142857144</v>
      </c>
      <c r="Q31" s="635">
        <v>0</v>
      </c>
      <c r="R31" s="635">
        <v>0</v>
      </c>
      <c r="S31" s="635">
        <v>0</v>
      </c>
      <c r="T31" s="635">
        <v>0</v>
      </c>
      <c r="U31" s="635">
        <v>0</v>
      </c>
      <c r="V31" s="635">
        <v>0</v>
      </c>
      <c r="W31" s="635">
        <v>0</v>
      </c>
      <c r="X31" s="635">
        <v>1500</v>
      </c>
      <c r="Y31" s="635" t="s">
        <v>50</v>
      </c>
      <c r="Z31" s="637" t="s">
        <v>155</v>
      </c>
    </row>
    <row r="32" spans="1:26" s="589" customFormat="1" ht="63.75">
      <c r="A32" s="588"/>
      <c r="B32" s="786">
        <v>11002</v>
      </c>
      <c r="C32" s="786">
        <v>2170</v>
      </c>
      <c r="D32" s="636" t="s">
        <v>898</v>
      </c>
      <c r="E32" s="635" t="s">
        <v>899</v>
      </c>
      <c r="F32" s="635" t="s">
        <v>900</v>
      </c>
      <c r="G32" s="635" t="s">
        <v>886</v>
      </c>
      <c r="H32" s="635" t="s">
        <v>887</v>
      </c>
      <c r="I32" s="635" t="s">
        <v>901</v>
      </c>
      <c r="J32" s="785">
        <v>41023</v>
      </c>
      <c r="K32" s="785">
        <v>40942</v>
      </c>
      <c r="L32" s="635" t="s">
        <v>888</v>
      </c>
      <c r="M32" s="635">
        <v>70</v>
      </c>
      <c r="N32" s="635">
        <v>315.00000000000006</v>
      </c>
      <c r="O32" s="635">
        <v>450.00000000000011</v>
      </c>
      <c r="P32" s="635">
        <v>900.00000000000023</v>
      </c>
      <c r="Q32" s="635">
        <v>0</v>
      </c>
      <c r="R32" s="635">
        <v>0</v>
      </c>
      <c r="S32" s="635">
        <v>0</v>
      </c>
      <c r="T32" s="635">
        <v>0</v>
      </c>
      <c r="U32" s="635">
        <v>0</v>
      </c>
      <c r="V32" s="635">
        <v>0</v>
      </c>
      <c r="W32" s="635">
        <v>0</v>
      </c>
      <c r="X32" s="635">
        <v>1600</v>
      </c>
      <c r="Y32" s="635" t="s">
        <v>49</v>
      </c>
      <c r="Z32" s="637" t="s">
        <v>155</v>
      </c>
    </row>
    <row r="33" spans="1:26" s="589" customFormat="1" ht="63.75">
      <c r="A33" s="588"/>
      <c r="B33" s="786">
        <v>11002</v>
      </c>
      <c r="C33" s="786">
        <v>2610</v>
      </c>
      <c r="D33" s="636" t="s">
        <v>898</v>
      </c>
      <c r="E33" s="635" t="s">
        <v>899</v>
      </c>
      <c r="F33" s="635" t="s">
        <v>902</v>
      </c>
      <c r="G33" s="635" t="s">
        <v>886</v>
      </c>
      <c r="H33" s="635" t="s">
        <v>887</v>
      </c>
      <c r="I33" s="635" t="s">
        <v>903</v>
      </c>
      <c r="J33" s="785">
        <v>40963</v>
      </c>
      <c r="K33" s="785">
        <v>41153</v>
      </c>
      <c r="L33" s="635" t="s">
        <v>888</v>
      </c>
      <c r="M33" s="635">
        <v>70</v>
      </c>
      <c r="N33" s="635">
        <v>315.00000000000006</v>
      </c>
      <c r="O33" s="635">
        <v>450.00000000000011</v>
      </c>
      <c r="P33" s="635">
        <v>900.00000000000023</v>
      </c>
      <c r="Q33" s="635">
        <v>0</v>
      </c>
      <c r="R33" s="635">
        <v>0</v>
      </c>
      <c r="S33" s="635">
        <v>0</v>
      </c>
      <c r="T33" s="635">
        <v>0</v>
      </c>
      <c r="U33" s="635">
        <v>0</v>
      </c>
      <c r="V33" s="635">
        <v>0</v>
      </c>
      <c r="W33" s="635">
        <v>0</v>
      </c>
      <c r="X33" s="635">
        <v>1600</v>
      </c>
      <c r="Y33" s="635" t="s">
        <v>49</v>
      </c>
      <c r="Z33" s="637" t="s">
        <v>155</v>
      </c>
    </row>
    <row r="34" spans="1:26" s="589" customFormat="1" ht="63.75">
      <c r="A34" s="588"/>
      <c r="B34" s="786">
        <v>11002</v>
      </c>
      <c r="C34" s="786">
        <v>2018</v>
      </c>
      <c r="D34" s="636" t="s">
        <v>898</v>
      </c>
      <c r="E34" s="635" t="s">
        <v>899</v>
      </c>
      <c r="F34" s="635" t="s">
        <v>904</v>
      </c>
      <c r="G34" s="635" t="s">
        <v>886</v>
      </c>
      <c r="H34" s="635" t="s">
        <v>887</v>
      </c>
      <c r="I34" s="635" t="s">
        <v>905</v>
      </c>
      <c r="J34" s="785">
        <v>40963</v>
      </c>
      <c r="K34" s="785">
        <v>41183</v>
      </c>
      <c r="L34" s="635" t="s">
        <v>888</v>
      </c>
      <c r="M34" s="635">
        <v>199</v>
      </c>
      <c r="N34" s="635">
        <v>895.5</v>
      </c>
      <c r="O34" s="635">
        <v>1279.2857142857142</v>
      </c>
      <c r="P34" s="635">
        <v>2558.5714285714289</v>
      </c>
      <c r="Q34" s="635">
        <v>0</v>
      </c>
      <c r="R34" s="635">
        <v>0</v>
      </c>
      <c r="S34" s="635">
        <v>0</v>
      </c>
      <c r="T34" s="635">
        <v>0</v>
      </c>
      <c r="U34" s="635">
        <v>0</v>
      </c>
      <c r="V34" s="635">
        <v>0</v>
      </c>
      <c r="W34" s="635">
        <v>0</v>
      </c>
      <c r="X34" s="635">
        <v>1600</v>
      </c>
      <c r="Y34" s="635" t="s">
        <v>49</v>
      </c>
      <c r="Z34" s="637" t="s">
        <v>155</v>
      </c>
    </row>
    <row r="35" spans="1:26" s="589" customFormat="1" ht="63.75">
      <c r="A35" s="588"/>
      <c r="B35" s="786">
        <v>11002</v>
      </c>
      <c r="C35" s="786">
        <v>2660</v>
      </c>
      <c r="D35" s="636" t="s">
        <v>898</v>
      </c>
      <c r="E35" s="635" t="s">
        <v>899</v>
      </c>
      <c r="F35" s="635" t="s">
        <v>906</v>
      </c>
      <c r="G35" s="635" t="s">
        <v>886</v>
      </c>
      <c r="H35" s="635" t="s">
        <v>887</v>
      </c>
      <c r="I35" s="635" t="s">
        <v>907</v>
      </c>
      <c r="J35" s="785">
        <v>41257</v>
      </c>
      <c r="K35" s="785">
        <v>41183</v>
      </c>
      <c r="L35" s="635" t="s">
        <v>908</v>
      </c>
      <c r="M35" s="635">
        <v>70</v>
      </c>
      <c r="N35" s="635">
        <v>315.00000000000006</v>
      </c>
      <c r="O35" s="635">
        <v>450.00000000000011</v>
      </c>
      <c r="P35" s="635">
        <v>900.00000000000023</v>
      </c>
      <c r="Q35" s="635">
        <v>0</v>
      </c>
      <c r="R35" s="635">
        <v>0</v>
      </c>
      <c r="S35" s="635">
        <v>0</v>
      </c>
      <c r="T35" s="635">
        <v>0</v>
      </c>
      <c r="U35" s="635">
        <v>0</v>
      </c>
      <c r="V35" s="635">
        <v>0</v>
      </c>
      <c r="W35" s="635">
        <v>0</v>
      </c>
      <c r="X35" s="635">
        <v>1600</v>
      </c>
      <c r="Y35" s="635" t="s">
        <v>49</v>
      </c>
      <c r="Z35" s="637" t="s">
        <v>155</v>
      </c>
    </row>
    <row r="36" spans="1:26" s="589" customFormat="1" ht="63.75">
      <c r="A36" s="588"/>
      <c r="B36" s="786">
        <v>11002</v>
      </c>
      <c r="C36" s="786">
        <v>2140</v>
      </c>
      <c r="D36" s="636" t="s">
        <v>898</v>
      </c>
      <c r="E36" s="635" t="s">
        <v>899</v>
      </c>
      <c r="F36" s="635" t="s">
        <v>909</v>
      </c>
      <c r="G36" s="635" t="s">
        <v>886</v>
      </c>
      <c r="H36" s="635" t="s">
        <v>887</v>
      </c>
      <c r="I36" s="635" t="s">
        <v>910</v>
      </c>
      <c r="J36" s="785">
        <v>41753</v>
      </c>
      <c r="K36" s="785">
        <v>41629</v>
      </c>
      <c r="L36" s="635" t="s">
        <v>888</v>
      </c>
      <c r="M36" s="635">
        <v>70</v>
      </c>
      <c r="N36" s="635">
        <v>315.00000000000006</v>
      </c>
      <c r="O36" s="635">
        <v>450.00000000000011</v>
      </c>
      <c r="P36" s="635">
        <v>900.00000000000023</v>
      </c>
      <c r="Q36" s="635">
        <v>0</v>
      </c>
      <c r="R36" s="635">
        <v>0</v>
      </c>
      <c r="S36" s="635">
        <v>0</v>
      </c>
      <c r="T36" s="635">
        <v>0</v>
      </c>
      <c r="U36" s="635">
        <v>0</v>
      </c>
      <c r="V36" s="635">
        <v>0</v>
      </c>
      <c r="W36" s="635">
        <v>0</v>
      </c>
      <c r="X36" s="635">
        <v>1600</v>
      </c>
      <c r="Y36" s="635" t="s">
        <v>49</v>
      </c>
      <c r="Z36" s="637" t="s">
        <v>155</v>
      </c>
    </row>
    <row r="37" spans="1:26" s="589" customFormat="1" ht="25.5">
      <c r="A37" s="588"/>
      <c r="B37" s="786">
        <v>11002</v>
      </c>
      <c r="C37" s="786">
        <v>2000</v>
      </c>
      <c r="D37" s="636" t="s">
        <v>911</v>
      </c>
      <c r="E37" s="635" t="s">
        <v>912</v>
      </c>
      <c r="F37" s="635" t="s">
        <v>913</v>
      </c>
      <c r="G37" s="635" t="s">
        <v>886</v>
      </c>
      <c r="H37" s="635" t="s">
        <v>887</v>
      </c>
      <c r="I37" s="635" t="s">
        <v>914</v>
      </c>
      <c r="J37" s="785">
        <v>41654</v>
      </c>
      <c r="K37" s="785">
        <v>41656</v>
      </c>
      <c r="L37" s="635" t="s">
        <v>908</v>
      </c>
      <c r="M37" s="635">
        <v>5.5</v>
      </c>
      <c r="N37" s="635">
        <v>24.75</v>
      </c>
      <c r="O37" s="635">
        <v>35.357142857142861</v>
      </c>
      <c r="P37" s="635">
        <v>70.714285714285722</v>
      </c>
      <c r="Q37" s="635">
        <v>0</v>
      </c>
      <c r="R37" s="635">
        <v>0</v>
      </c>
      <c r="S37" s="635">
        <v>0</v>
      </c>
      <c r="T37" s="635">
        <v>0</v>
      </c>
      <c r="U37" s="635">
        <v>0</v>
      </c>
      <c r="V37" s="635">
        <v>0</v>
      </c>
      <c r="W37" s="635">
        <v>0</v>
      </c>
      <c r="X37" s="635">
        <v>1300</v>
      </c>
      <c r="Y37" s="635" t="s">
        <v>53</v>
      </c>
      <c r="Z37" s="637" t="s">
        <v>155</v>
      </c>
    </row>
    <row r="38" spans="1:26" s="589" customFormat="1" ht="63.75">
      <c r="A38" s="588"/>
      <c r="B38" s="786">
        <v>11002</v>
      </c>
      <c r="C38" s="786">
        <v>2000</v>
      </c>
      <c r="D38" s="636"/>
      <c r="E38" s="635"/>
      <c r="F38" s="635" t="s">
        <v>915</v>
      </c>
      <c r="G38" s="635" t="s">
        <v>886</v>
      </c>
      <c r="H38" s="635" t="s">
        <v>887</v>
      </c>
      <c r="I38" s="635" t="s">
        <v>916</v>
      </c>
      <c r="J38" s="785">
        <v>42321</v>
      </c>
      <c r="K38" s="785">
        <v>42303</v>
      </c>
      <c r="L38" s="635" t="s">
        <v>888</v>
      </c>
      <c r="M38" s="635">
        <v>33</v>
      </c>
      <c r="N38" s="635">
        <v>148.5</v>
      </c>
      <c r="O38" s="635">
        <v>212.14285714285714</v>
      </c>
      <c r="P38" s="635">
        <v>424.28571428571433</v>
      </c>
      <c r="Q38" s="635">
        <v>0</v>
      </c>
      <c r="R38" s="635">
        <v>0</v>
      </c>
      <c r="S38" s="635">
        <v>0</v>
      </c>
      <c r="T38" s="635">
        <v>0</v>
      </c>
      <c r="U38" s="635">
        <v>0</v>
      </c>
      <c r="V38" s="635">
        <v>0</v>
      </c>
      <c r="W38" s="635">
        <v>0</v>
      </c>
      <c r="X38" s="635">
        <v>1600</v>
      </c>
      <c r="Y38" s="635" t="s">
        <v>49</v>
      </c>
      <c r="Z38" s="637" t="s">
        <v>155</v>
      </c>
    </row>
    <row r="39" spans="1:26" s="589" customFormat="1" ht="38.25">
      <c r="A39" s="588"/>
      <c r="B39" s="786">
        <v>11002</v>
      </c>
      <c r="C39" s="786">
        <v>2000</v>
      </c>
      <c r="D39" s="636" t="s">
        <v>917</v>
      </c>
      <c r="E39" s="635" t="s">
        <v>918</v>
      </c>
      <c r="F39" s="635" t="s">
        <v>919</v>
      </c>
      <c r="G39" s="635" t="s">
        <v>920</v>
      </c>
      <c r="H39" s="635" t="s">
        <v>920</v>
      </c>
      <c r="I39" s="635" t="s">
        <v>918</v>
      </c>
      <c r="J39" s="785">
        <v>42328</v>
      </c>
      <c r="K39" s="785">
        <v>42328</v>
      </c>
      <c r="L39" s="635" t="s">
        <v>888</v>
      </c>
      <c r="M39" s="635">
        <v>1.7</v>
      </c>
      <c r="N39" s="635">
        <v>8.5</v>
      </c>
      <c r="O39" s="635">
        <v>12.175675675675675</v>
      </c>
      <c r="P39" s="635">
        <v>22.972972972972972</v>
      </c>
      <c r="Q39" s="635">
        <v>0</v>
      </c>
      <c r="R39" s="635">
        <v>0</v>
      </c>
      <c r="S39" s="635">
        <v>0</v>
      </c>
      <c r="T39" s="635">
        <v>0</v>
      </c>
      <c r="U39" s="635">
        <v>0</v>
      </c>
      <c r="V39" s="635">
        <v>0</v>
      </c>
      <c r="W39" s="635">
        <v>0</v>
      </c>
      <c r="X39" s="635">
        <v>1300</v>
      </c>
      <c r="Y39" s="635" t="s">
        <v>53</v>
      </c>
      <c r="Z39" s="637" t="s">
        <v>155</v>
      </c>
    </row>
    <row r="40" spans="1:26" s="589" customFormat="1" ht="25.5">
      <c r="A40" s="588"/>
      <c r="B40" s="786">
        <v>11002</v>
      </c>
      <c r="C40" s="786">
        <v>2000</v>
      </c>
      <c r="D40" s="636" t="s">
        <v>921</v>
      </c>
      <c r="E40" s="635"/>
      <c r="F40" s="635" t="s">
        <v>922</v>
      </c>
      <c r="G40" s="635" t="s">
        <v>923</v>
      </c>
      <c r="H40" s="635" t="s">
        <v>887</v>
      </c>
      <c r="I40" s="635" t="s">
        <v>924</v>
      </c>
      <c r="J40" s="785">
        <v>42740</v>
      </c>
      <c r="K40" s="785">
        <v>42712</v>
      </c>
      <c r="L40" s="635" t="s">
        <v>925</v>
      </c>
      <c r="M40" s="635">
        <v>143</v>
      </c>
      <c r="N40" s="635">
        <v>643.5</v>
      </c>
      <c r="O40" s="635">
        <v>919.28571428571433</v>
      </c>
      <c r="P40" s="635">
        <v>1838.5714285714287</v>
      </c>
      <c r="Q40" s="635">
        <v>0</v>
      </c>
      <c r="R40" s="635">
        <v>0</v>
      </c>
      <c r="S40" s="635">
        <v>0</v>
      </c>
      <c r="T40" s="635">
        <v>0</v>
      </c>
      <c r="U40" s="635">
        <v>0</v>
      </c>
      <c r="V40" s="635">
        <v>0</v>
      </c>
      <c r="W40" s="635">
        <v>0</v>
      </c>
      <c r="X40" s="635">
        <v>1100</v>
      </c>
      <c r="Y40" s="635" t="s">
        <v>51</v>
      </c>
      <c r="Z40" s="637" t="s">
        <v>155</v>
      </c>
    </row>
    <row r="41" spans="1:26" s="589" customFormat="1" ht="63.75">
      <c r="A41" s="588"/>
      <c r="B41" s="786">
        <v>11002</v>
      </c>
      <c r="C41" s="786">
        <v>2020</v>
      </c>
      <c r="D41" s="636" t="s">
        <v>926</v>
      </c>
      <c r="E41" s="635"/>
      <c r="F41" s="635" t="s">
        <v>927</v>
      </c>
      <c r="G41" s="635" t="s">
        <v>928</v>
      </c>
      <c r="H41" s="635" t="s">
        <v>920</v>
      </c>
      <c r="I41" s="635" t="s">
        <v>929</v>
      </c>
      <c r="J41" s="785">
        <v>42923</v>
      </c>
      <c r="K41" s="785">
        <v>42923</v>
      </c>
      <c r="L41" s="635" t="s">
        <v>925</v>
      </c>
      <c r="M41" s="635">
        <v>5.0999999999999996</v>
      </c>
      <c r="N41" s="635">
        <v>25.499999999999996</v>
      </c>
      <c r="O41" s="635">
        <v>36.527027027027025</v>
      </c>
      <c r="P41" s="635">
        <v>68.918918918918905</v>
      </c>
      <c r="Q41" s="635">
        <v>0</v>
      </c>
      <c r="R41" s="635">
        <v>0</v>
      </c>
      <c r="S41" s="635">
        <v>0</v>
      </c>
      <c r="T41" s="635">
        <v>0</v>
      </c>
      <c r="U41" s="635">
        <v>0</v>
      </c>
      <c r="V41" s="635">
        <v>0</v>
      </c>
      <c r="W41" s="635">
        <v>0</v>
      </c>
      <c r="X41" s="635">
        <v>1600</v>
      </c>
      <c r="Y41" s="635" t="s">
        <v>49</v>
      </c>
      <c r="Z41" s="637" t="s">
        <v>155</v>
      </c>
    </row>
    <row r="42" spans="1:26" s="569" customFormat="1">
      <c r="A42" s="591" t="s">
        <v>275</v>
      </c>
      <c r="B42" s="592"/>
      <c r="C42" s="592"/>
      <c r="D42" s="592"/>
      <c r="E42" s="592"/>
      <c r="F42" s="592"/>
      <c r="G42" s="592"/>
      <c r="H42" s="592"/>
      <c r="I42" s="592"/>
      <c r="J42" s="592"/>
      <c r="K42" s="592"/>
      <c r="L42" s="593"/>
      <c r="M42" s="593">
        <f>SUM(M28:M41)</f>
        <v>2587.2999999999997</v>
      </c>
      <c r="N42" s="593">
        <f>SUM(N28:N41)</f>
        <v>11646.25</v>
      </c>
      <c r="O42" s="593">
        <f>SUM(O28:O41)</f>
        <v>16637.631274131276</v>
      </c>
      <c r="P42" s="593">
        <f>SUM(P28:P41)</f>
        <v>33269.749034749038</v>
      </c>
      <c r="Q42" s="593">
        <f>SUM(Q28:Q41)</f>
        <v>0</v>
      </c>
      <c r="R42" s="593">
        <f>SUM(R28:R41)</f>
        <v>0</v>
      </c>
      <c r="S42" s="593">
        <f>SUM(S28:S41)</f>
        <v>0</v>
      </c>
      <c r="T42" s="593">
        <f>SUM(T28:T41)</f>
        <v>0</v>
      </c>
      <c r="U42" s="593">
        <f>SUM(U28:U41)</f>
        <v>0</v>
      </c>
      <c r="V42" s="593">
        <f>SUM(V28:V41)</f>
        <v>0</v>
      </c>
      <c r="W42" s="593">
        <f>SUM(W28:W41)</f>
        <v>0</v>
      </c>
      <c r="X42" s="594"/>
      <c r="Y42" s="594"/>
      <c r="Z42" s="595"/>
    </row>
    <row r="43" spans="1:26" s="569" customFormat="1">
      <c r="A43" s="591" t="s">
        <v>282</v>
      </c>
      <c r="B43" s="592"/>
      <c r="C43" s="592"/>
      <c r="D43" s="592"/>
      <c r="E43" s="592"/>
      <c r="F43" s="592"/>
      <c r="G43" s="592"/>
      <c r="H43" s="592"/>
      <c r="I43" s="592"/>
      <c r="J43" s="592"/>
      <c r="K43" s="592"/>
      <c r="L43" s="593"/>
      <c r="M43" s="593">
        <f>SUMIF($Z$28:$Z$41,"industrie",M28:M41)</f>
        <v>806</v>
      </c>
      <c r="N43" s="593">
        <f>SUMIF($Z$28:$Z$41,"industrie",N28:N41)</f>
        <v>3627</v>
      </c>
      <c r="O43" s="593">
        <f>SUMIF($Z$28:$Z$41,"industrie",O28:O41)</f>
        <v>5181.4285714285716</v>
      </c>
      <c r="P43" s="593">
        <f>SUMIF($Z$28:$Z$41,"industrie",P28:P41)</f>
        <v>10362.857142857143</v>
      </c>
      <c r="Q43" s="593">
        <f>SUMIF($Z$28:$Z$41,"industrie",Q28:Q41)</f>
        <v>0</v>
      </c>
      <c r="R43" s="593">
        <f>SUMIF($Z$28:$Z$41,"industrie",R28:R41)</f>
        <v>0</v>
      </c>
      <c r="S43" s="593">
        <f>SUMIF($Z$28:$Z$41,"industrie",S28:S41)</f>
        <v>0</v>
      </c>
      <c r="T43" s="593">
        <f>SUMIF($Z$28:$Z$41,"industrie",T28:T41)</f>
        <v>0</v>
      </c>
      <c r="U43" s="593">
        <f>SUMIF($Z$28:$Z$41,"industrie",U28:U41)</f>
        <v>0</v>
      </c>
      <c r="V43" s="593">
        <f>SUMIF($Z$28:$Z$41,"industrie",V28:V41)</f>
        <v>0</v>
      </c>
      <c r="W43" s="593">
        <f>SUMIF($Z$28:$Z$41,"industrie",W28:W41)</f>
        <v>0</v>
      </c>
      <c r="X43" s="594"/>
      <c r="Y43" s="594"/>
      <c r="Z43" s="595"/>
    </row>
    <row r="44" spans="1:26" s="569" customFormat="1">
      <c r="A44" s="591" t="s">
        <v>283</v>
      </c>
      <c r="B44" s="592"/>
      <c r="C44" s="592"/>
      <c r="D44" s="592"/>
      <c r="E44" s="592"/>
      <c r="F44" s="592"/>
      <c r="G44" s="592"/>
      <c r="H44" s="592"/>
      <c r="I44" s="592"/>
      <c r="J44" s="592"/>
      <c r="K44" s="592"/>
      <c r="L44" s="593"/>
      <c r="M44" s="593">
        <f ca="1">SUMIF($Z$28:AC41,"tertiair",M28:M41)</f>
        <v>1781.3</v>
      </c>
      <c r="N44" s="593">
        <f ca="1">SUMIF($Z$28:AD41,"tertiair",N28:N41)</f>
        <v>8019.25</v>
      </c>
      <c r="O44" s="593">
        <f ca="1">SUMIF($Z$28:AE41,"tertiair",O28:O41)</f>
        <v>11456.202702702702</v>
      </c>
      <c r="P44" s="593">
        <f ca="1">SUMIF($Z$28:AF41,"tertiair",P28:P41)</f>
        <v>22906.891891891893</v>
      </c>
      <c r="Q44" s="593">
        <f ca="1">SUMIF($Z$28:AG41,"tertiair",Q28:Q41)</f>
        <v>0</v>
      </c>
      <c r="R44" s="593">
        <f ca="1">SUMIF($Z$28:AH41,"tertiair",R28:R41)</f>
        <v>0</v>
      </c>
      <c r="S44" s="593">
        <f ca="1">SUMIF($Z$28:AI41,"tertiair",S28:S41)</f>
        <v>0</v>
      </c>
      <c r="T44" s="593">
        <f ca="1">SUMIF($Z$28:AJ41,"tertiair",T28:T41)</f>
        <v>0</v>
      </c>
      <c r="U44" s="593">
        <f ca="1">SUMIF($Z$28:AK41,"tertiair",U28:U41)</f>
        <v>0</v>
      </c>
      <c r="V44" s="593">
        <f ca="1">SUMIF($Z$28:AL41,"tertiair",V28:V41)</f>
        <v>0</v>
      </c>
      <c r="W44" s="593">
        <f ca="1">SUMIF($Z$28:AM41,"tertiair",W28:W41)</f>
        <v>0</v>
      </c>
      <c r="X44" s="594"/>
      <c r="Y44" s="594"/>
      <c r="Z44" s="595"/>
    </row>
    <row r="45" spans="1:26" s="569" customFormat="1" ht="15.75" thickBot="1">
      <c r="A45" s="596" t="s">
        <v>284</v>
      </c>
      <c r="B45" s="597"/>
      <c r="C45" s="597"/>
      <c r="D45" s="597"/>
      <c r="E45" s="597"/>
      <c r="F45" s="597"/>
      <c r="G45" s="597"/>
      <c r="H45" s="597"/>
      <c r="I45" s="597"/>
      <c r="J45" s="597"/>
      <c r="K45" s="597"/>
      <c r="L45" s="598"/>
      <c r="M45" s="598">
        <f>SUMIF($Z$28:$Z$41,"landbouw",M28:M41)</f>
        <v>0</v>
      </c>
      <c r="N45" s="598">
        <f>SUMIF($Z$28:$Z$41,"landbouw",N28:N41)</f>
        <v>0</v>
      </c>
      <c r="O45" s="598">
        <f>SUMIF($Z$28:$Z$41,"landbouw",O28:O41)</f>
        <v>0</v>
      </c>
      <c r="P45" s="598">
        <f>SUMIF($Z$28:$Z$41,"landbouw",P28:P41)</f>
        <v>0</v>
      </c>
      <c r="Q45" s="598">
        <f>SUMIF($Z$28:$Z$41,"landbouw",Q28:Q41)</f>
        <v>0</v>
      </c>
      <c r="R45" s="598">
        <f>SUMIF($Z$28:$Z$41,"landbouw",R28:R41)</f>
        <v>0</v>
      </c>
      <c r="S45" s="598">
        <f>SUMIF($Z$28:$Z$41,"landbouw",S28:S41)</f>
        <v>0</v>
      </c>
      <c r="T45" s="598">
        <f>SUMIF($Z$28:$Z$41,"landbouw",T28:T41)</f>
        <v>0</v>
      </c>
      <c r="U45" s="598">
        <f>SUMIF($Z$28:$Z$41,"landbouw",U28:U41)</f>
        <v>0</v>
      </c>
      <c r="V45" s="598">
        <f>SUMIF($Z$28:$Z$41,"landbouw",V28:V41)</f>
        <v>0</v>
      </c>
      <c r="W45" s="598">
        <f>SUMIF($Z$28:$Z$41,"landbouw",W28:W41)</f>
        <v>0</v>
      </c>
      <c r="X45" s="599"/>
      <c r="Y45" s="599"/>
      <c r="Z45" s="600"/>
    </row>
    <row r="46" spans="1:26" s="530" customFormat="1" ht="15.75" thickBot="1">
      <c r="A46" s="601"/>
      <c r="B46" s="602"/>
      <c r="C46" s="602"/>
      <c r="D46" s="602"/>
      <c r="E46" s="602"/>
      <c r="F46" s="602"/>
      <c r="G46" s="602"/>
      <c r="H46" s="602"/>
      <c r="I46" s="602"/>
      <c r="J46" s="602"/>
      <c r="K46" s="602"/>
      <c r="L46" s="585"/>
      <c r="M46" s="585"/>
      <c r="N46" s="585"/>
      <c r="O46" s="586"/>
      <c r="P46" s="586"/>
    </row>
    <row r="47" spans="1:26" s="530" customFormat="1" ht="45">
      <c r="A47" s="603" t="s">
        <v>276</v>
      </c>
      <c r="B47" s="632" t="s">
        <v>89</v>
      </c>
      <c r="C47" s="632" t="s">
        <v>90</v>
      </c>
      <c r="D47" s="632" t="s">
        <v>91</v>
      </c>
      <c r="E47" s="632" t="s">
        <v>92</v>
      </c>
      <c r="F47" s="632" t="s">
        <v>93</v>
      </c>
      <c r="G47" s="632" t="s">
        <v>94</v>
      </c>
      <c r="H47" s="632" t="s">
        <v>95</v>
      </c>
      <c r="I47" s="632" t="s">
        <v>96</v>
      </c>
      <c r="J47" s="632" t="s">
        <v>97</v>
      </c>
      <c r="K47" s="632" t="s">
        <v>98</v>
      </c>
      <c r="L47" s="632" t="s">
        <v>99</v>
      </c>
      <c r="M47" s="633" t="s">
        <v>293</v>
      </c>
      <c r="N47" s="633" t="s">
        <v>100</v>
      </c>
      <c r="O47" s="633" t="s">
        <v>101</v>
      </c>
      <c r="P47" s="633" t="s">
        <v>518</v>
      </c>
      <c r="Q47" s="633" t="s">
        <v>102</v>
      </c>
      <c r="R47" s="633" t="s">
        <v>103</v>
      </c>
      <c r="S47" s="633" t="s">
        <v>104</v>
      </c>
      <c r="T47" s="633" t="s">
        <v>105</v>
      </c>
      <c r="U47" s="633" t="s">
        <v>106</v>
      </c>
      <c r="V47" s="633" t="s">
        <v>107</v>
      </c>
      <c r="W47" s="632" t="s">
        <v>108</v>
      </c>
      <c r="X47" s="632" t="s">
        <v>294</v>
      </c>
      <c r="Y47" s="632" t="s">
        <v>109</v>
      </c>
      <c r="Z47" s="634" t="s">
        <v>295</v>
      </c>
    </row>
    <row r="48" spans="1:26" s="604" customFormat="1" ht="63.75">
      <c r="A48" s="590"/>
      <c r="B48" s="786">
        <v>11002</v>
      </c>
      <c r="C48" s="786">
        <v>2020</v>
      </c>
      <c r="D48" s="638" t="s">
        <v>930</v>
      </c>
      <c r="E48" s="638" t="s">
        <v>931</v>
      </c>
      <c r="F48" s="638" t="s">
        <v>932</v>
      </c>
      <c r="G48" s="638" t="s">
        <v>933</v>
      </c>
      <c r="H48" s="638" t="s">
        <v>934</v>
      </c>
      <c r="I48" s="638" t="s">
        <v>935</v>
      </c>
      <c r="J48" s="785">
        <v>38169</v>
      </c>
      <c r="K48" s="785">
        <v>38261</v>
      </c>
      <c r="L48" s="638" t="s">
        <v>908</v>
      </c>
      <c r="M48" s="638">
        <v>300</v>
      </c>
      <c r="N48" s="638">
        <v>1350</v>
      </c>
      <c r="O48" s="638">
        <v>0</v>
      </c>
      <c r="P48" s="638">
        <v>0</v>
      </c>
      <c r="Q48" s="638">
        <v>3857.1428571428573</v>
      </c>
      <c r="R48" s="638">
        <v>0</v>
      </c>
      <c r="S48" s="638">
        <v>0</v>
      </c>
      <c r="T48" s="638">
        <v>0</v>
      </c>
      <c r="U48" s="638">
        <v>0</v>
      </c>
      <c r="V48" s="638">
        <v>0</v>
      </c>
      <c r="W48" s="638">
        <v>0</v>
      </c>
      <c r="X48" s="638">
        <v>1600</v>
      </c>
      <c r="Y48" s="638" t="s">
        <v>49</v>
      </c>
      <c r="Z48" s="639" t="s">
        <v>155</v>
      </c>
    </row>
    <row r="49" spans="1:27" s="604" customFormat="1" ht="63.75">
      <c r="A49" s="590"/>
      <c r="B49" s="786">
        <v>11002</v>
      </c>
      <c r="C49" s="786">
        <v>2030</v>
      </c>
      <c r="D49" s="638" t="s">
        <v>936</v>
      </c>
      <c r="E49" s="638" t="s">
        <v>937</v>
      </c>
      <c r="F49" s="638" t="s">
        <v>938</v>
      </c>
      <c r="G49" s="638" t="s">
        <v>939</v>
      </c>
      <c r="H49" s="638" t="s">
        <v>934</v>
      </c>
      <c r="I49" s="638" t="s">
        <v>940</v>
      </c>
      <c r="J49" s="785">
        <v>38183</v>
      </c>
      <c r="K49" s="785">
        <v>38200</v>
      </c>
      <c r="L49" s="638" t="s">
        <v>888</v>
      </c>
      <c r="M49" s="638">
        <v>4093</v>
      </c>
      <c r="N49" s="638">
        <v>18418.5</v>
      </c>
      <c r="O49" s="638">
        <v>0</v>
      </c>
      <c r="P49" s="638">
        <v>0</v>
      </c>
      <c r="Q49" s="638">
        <v>0</v>
      </c>
      <c r="R49" s="638">
        <v>52624.285714285717</v>
      </c>
      <c r="S49" s="638">
        <v>0</v>
      </c>
      <c r="T49" s="638">
        <v>0</v>
      </c>
      <c r="U49" s="638">
        <v>0</v>
      </c>
      <c r="V49" s="638">
        <v>0</v>
      </c>
      <c r="W49" s="638">
        <v>0</v>
      </c>
      <c r="X49" s="638">
        <v>1600</v>
      </c>
      <c r="Y49" s="638" t="s">
        <v>49</v>
      </c>
      <c r="Z49" s="639" t="s">
        <v>155</v>
      </c>
    </row>
    <row r="50" spans="1:27" s="569" customFormat="1">
      <c r="A50" s="591" t="s">
        <v>275</v>
      </c>
      <c r="B50" s="592"/>
      <c r="C50" s="592"/>
      <c r="D50" s="592"/>
      <c r="E50" s="592"/>
      <c r="F50" s="592"/>
      <c r="G50" s="592"/>
      <c r="H50" s="592"/>
      <c r="I50" s="592"/>
      <c r="J50" s="592"/>
      <c r="K50" s="592"/>
      <c r="L50" s="593"/>
      <c r="M50" s="593">
        <f>SUM(M48:M49)</f>
        <v>4393</v>
      </c>
      <c r="N50" s="593">
        <f>SUM(N48:N49)</f>
        <v>19768.5</v>
      </c>
      <c r="O50" s="593">
        <f>SUM(O48:O49)</f>
        <v>0</v>
      </c>
      <c r="P50" s="593">
        <f>SUM(P48:P49)</f>
        <v>0</v>
      </c>
      <c r="Q50" s="593">
        <f>SUM(Q48:Q49)</f>
        <v>3857.1428571428573</v>
      </c>
      <c r="R50" s="593">
        <f>SUM(R48:R49)</f>
        <v>52624.285714285717</v>
      </c>
      <c r="S50" s="593">
        <f>SUM(S48:S49)</f>
        <v>0</v>
      </c>
      <c r="T50" s="593">
        <f>SUM(T48:T49)</f>
        <v>0</v>
      </c>
      <c r="U50" s="593">
        <f>SUM(U48:U49)</f>
        <v>0</v>
      </c>
      <c r="V50" s="593">
        <f>SUM(V48:V49)</f>
        <v>0</v>
      </c>
      <c r="W50" s="593">
        <f>SUM(W48:W49)</f>
        <v>0</v>
      </c>
      <c r="X50" s="594"/>
      <c r="Y50" s="594"/>
      <c r="Z50" s="595"/>
    </row>
    <row r="51" spans="1:27" s="569" customFormat="1">
      <c r="A51" s="591" t="s">
        <v>282</v>
      </c>
      <c r="B51" s="592"/>
      <c r="C51" s="592"/>
      <c r="D51" s="592"/>
      <c r="E51" s="592"/>
      <c r="F51" s="592"/>
      <c r="G51" s="592"/>
      <c r="H51" s="592"/>
      <c r="I51" s="592"/>
      <c r="J51" s="592"/>
      <c r="K51" s="592"/>
      <c r="L51" s="593"/>
      <c r="M51" s="593">
        <f>SUMIF($Z$48:$Z$49,"industrie",M48:M49)</f>
        <v>0</v>
      </c>
      <c r="N51" s="593">
        <f>SUMIF($Z$48:$Z$49,"industrie",N48:N49)</f>
        <v>0</v>
      </c>
      <c r="O51" s="593">
        <f>SUMIF($Z$48:$Z$49,"industrie",O48:O49)</f>
        <v>0</v>
      </c>
      <c r="P51" s="593">
        <f>SUMIF($Z$48:$Z$49,"industrie",P48:P49)</f>
        <v>0</v>
      </c>
      <c r="Q51" s="593">
        <f>SUMIF($Z$48:$Z$49,"industrie",Q48:Q49)</f>
        <v>0</v>
      </c>
      <c r="R51" s="593">
        <f>SUMIF($Z$48:$Z$49,"industrie",R48:R49)</f>
        <v>0</v>
      </c>
      <c r="S51" s="593">
        <f>SUMIF($Z$48:$Z$49,"industrie",S48:S49)</f>
        <v>0</v>
      </c>
      <c r="T51" s="593">
        <f>SUMIF($Z$48:$Z$49,"industrie",T48:T49)</f>
        <v>0</v>
      </c>
      <c r="U51" s="593">
        <f>SUMIF($Z$48:$Z$49,"industrie",U48:U49)</f>
        <v>0</v>
      </c>
      <c r="V51" s="593">
        <f>SUMIF($Z$48:$Z$49,"industrie",V48:V49)</f>
        <v>0</v>
      </c>
      <c r="W51" s="593">
        <f>SUMIF($Z$48:$Z$49,"industrie",W48:W49)</f>
        <v>0</v>
      </c>
      <c r="X51" s="594"/>
      <c r="Y51" s="594"/>
      <c r="Z51" s="595"/>
    </row>
    <row r="52" spans="1:27" s="569" customFormat="1">
      <c r="A52" s="591" t="s">
        <v>283</v>
      </c>
      <c r="B52" s="592"/>
      <c r="C52" s="592"/>
      <c r="D52" s="592"/>
      <c r="E52" s="592"/>
      <c r="F52" s="592"/>
      <c r="G52" s="592"/>
      <c r="H52" s="592"/>
      <c r="I52" s="592"/>
      <c r="J52" s="592"/>
      <c r="K52" s="592"/>
      <c r="L52" s="593"/>
      <c r="M52" s="593">
        <f>SUMIF($Z$48:$Z$50,"tertiair",M48:M50)</f>
        <v>4393</v>
      </c>
      <c r="N52" s="593">
        <f>SUMIF($Z$48:$Z$50,"tertiair",N48:N50)</f>
        <v>19768.5</v>
      </c>
      <c r="O52" s="593">
        <f>SUMIF($Z$48:$Z$50,"tertiair",O48:O50)</f>
        <v>0</v>
      </c>
      <c r="P52" s="593">
        <f>SUMIF($Z$48:$Z$50,"tertiair",P48:P50)</f>
        <v>0</v>
      </c>
      <c r="Q52" s="593">
        <f>SUMIF($Z$48:$Z$50,"tertiair",Q48:Q50)</f>
        <v>3857.1428571428573</v>
      </c>
      <c r="R52" s="593">
        <f>SUMIF($Z$48:$Z$50,"tertiair",R48:R50)</f>
        <v>52624.285714285717</v>
      </c>
      <c r="S52" s="593">
        <f>SUMIF($Z$48:$Z$50,"tertiair",S48:S50)</f>
        <v>0</v>
      </c>
      <c r="T52" s="593">
        <f>SUMIF($Z$48:$Z$50,"tertiair",T48:T50)</f>
        <v>0</v>
      </c>
      <c r="U52" s="593">
        <f>SUMIF($Z$48:$Z$50,"tertiair",U48:U50)</f>
        <v>0</v>
      </c>
      <c r="V52" s="593">
        <f>SUMIF($Z$48:$Z$50,"tertiair",V48:V50)</f>
        <v>0</v>
      </c>
      <c r="W52" s="593">
        <f>SUMIF($Z$48:$Z$50,"tertiair",W48:W50)</f>
        <v>0</v>
      </c>
      <c r="X52" s="594"/>
      <c r="Y52" s="594"/>
      <c r="Z52" s="595"/>
    </row>
    <row r="53" spans="1:27" s="569" customFormat="1" ht="15.75" thickBot="1">
      <c r="A53" s="596" t="s">
        <v>284</v>
      </c>
      <c r="B53" s="597"/>
      <c r="C53" s="597"/>
      <c r="D53" s="597"/>
      <c r="E53" s="597"/>
      <c r="F53" s="597"/>
      <c r="G53" s="597"/>
      <c r="H53" s="597"/>
      <c r="I53" s="597"/>
      <c r="J53" s="597"/>
      <c r="K53" s="597"/>
      <c r="L53" s="598"/>
      <c r="M53" s="598">
        <f>SUMIF($Z$48:$Z$51,"landbouw",M48:M51)</f>
        <v>0</v>
      </c>
      <c r="N53" s="598">
        <f>SUMIF($Z$48:$Z$51,"landbouw",N48:N51)</f>
        <v>0</v>
      </c>
      <c r="O53" s="598">
        <f>SUMIF($Z$48:$Z$51,"landbouw",O48:O51)</f>
        <v>0</v>
      </c>
      <c r="P53" s="598">
        <f>SUMIF($Z$48:$Z$51,"landbouw",P48:P51)</f>
        <v>0</v>
      </c>
      <c r="Q53" s="598">
        <f>SUMIF($Z$48:$Z$51,"landbouw",Q48:Q51)</f>
        <v>0</v>
      </c>
      <c r="R53" s="598">
        <f>SUMIF($Z$48:$Z$51,"landbouw",R48:R51)</f>
        <v>0</v>
      </c>
      <c r="S53" s="598">
        <f>SUMIF($Z$48:$Z$51,"landbouw",S48:S51)</f>
        <v>0</v>
      </c>
      <c r="T53" s="598">
        <f>SUMIF($Z$48:$Z$51,"landbouw",T48:T51)</f>
        <v>0</v>
      </c>
      <c r="U53" s="598">
        <f>SUMIF($Z$48:$Z$51,"landbouw",U48:U51)</f>
        <v>0</v>
      </c>
      <c r="V53" s="598">
        <f>SUMIF($Z$48:$Z$51,"landbouw",V48:V51)</f>
        <v>0</v>
      </c>
      <c r="W53" s="598">
        <f>SUMIF($Z$48:$Z$51,"landbouw",W48:W51)</f>
        <v>0</v>
      </c>
      <c r="X53" s="599"/>
      <c r="Y53" s="599"/>
      <c r="Z53" s="600"/>
    </row>
    <row r="54" spans="1:27" s="605" customFormat="1">
      <c r="A54" s="601"/>
      <c r="B54" s="585"/>
      <c r="C54" s="585"/>
      <c r="D54" s="585"/>
      <c r="E54" s="585"/>
      <c r="F54" s="585"/>
      <c r="G54" s="585"/>
      <c r="H54" s="585"/>
      <c r="I54" s="585"/>
      <c r="J54" s="585"/>
      <c r="K54" s="585"/>
      <c r="L54" s="585"/>
      <c r="M54" s="585"/>
      <c r="N54" s="585"/>
      <c r="O54" s="585"/>
      <c r="P54" s="585"/>
      <c r="Q54" s="585"/>
      <c r="R54" s="585"/>
      <c r="S54" s="585"/>
      <c r="T54" s="585"/>
      <c r="U54" s="585"/>
      <c r="V54" s="585"/>
      <c r="W54" s="585"/>
      <c r="X54" s="585"/>
      <c r="Y54" s="585"/>
    </row>
    <row r="55" spans="1:27" s="605" customFormat="1" ht="15.75" thickBot="1">
      <c r="A55" s="601"/>
      <c r="B55" s="585"/>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row>
    <row r="56" spans="1:27">
      <c r="A56" s="606" t="s">
        <v>277</v>
      </c>
      <c r="B56" s="607"/>
      <c r="C56" s="607"/>
      <c r="D56" s="607"/>
      <c r="E56" s="607"/>
      <c r="F56" s="607"/>
      <c r="G56" s="607"/>
      <c r="H56" s="607"/>
      <c r="I56" s="608"/>
      <c r="J56" s="609"/>
      <c r="K56" s="609"/>
      <c r="L56" s="610"/>
      <c r="M56" s="610"/>
      <c r="N56" s="610"/>
      <c r="O56" s="610"/>
      <c r="P56" s="610"/>
    </row>
    <row r="57" spans="1:27">
      <c r="A57" s="612"/>
      <c r="B57" s="602"/>
      <c r="C57" s="602"/>
      <c r="D57" s="602"/>
      <c r="E57" s="602"/>
      <c r="F57" s="602"/>
      <c r="G57" s="602"/>
      <c r="H57" s="602"/>
      <c r="I57" s="613"/>
      <c r="J57" s="602"/>
      <c r="K57" s="602"/>
      <c r="L57" s="610"/>
      <c r="M57" s="610"/>
      <c r="N57" s="610"/>
      <c r="O57" s="610"/>
      <c r="P57" s="610"/>
    </row>
    <row r="58" spans="1:27">
      <c r="A58" s="614"/>
      <c r="B58" s="615" t="s">
        <v>278</v>
      </c>
      <c r="C58" s="615" t="s">
        <v>279</v>
      </c>
      <c r="D58" s="615"/>
      <c r="E58" s="615"/>
      <c r="F58" s="615"/>
      <c r="G58" s="615"/>
      <c r="H58" s="615"/>
      <c r="I58" s="616"/>
      <c r="J58" s="615"/>
      <c r="K58" s="615"/>
      <c r="L58" s="615"/>
      <c r="M58" s="615"/>
      <c r="N58" s="615"/>
      <c r="O58" s="615"/>
      <c r="P58" s="610"/>
    </row>
    <row r="59" spans="1:27">
      <c r="A59" s="612" t="s">
        <v>275</v>
      </c>
      <c r="B59" s="617">
        <f>IF(ISERROR(O42/(O42+N42)),0,O42/(O42+N42))</f>
        <v>0.58823720524340561</v>
      </c>
      <c r="C59" s="618">
        <f>IF(ISERROR(N42/(O42+N42)),0,N42/(N42+O42))</f>
        <v>0.41176279475659439</v>
      </c>
      <c r="D59" s="585"/>
      <c r="E59" s="585"/>
      <c r="F59" s="585"/>
      <c r="G59" s="585"/>
      <c r="H59" s="585"/>
      <c r="I59" s="619"/>
      <c r="J59" s="585"/>
      <c r="K59" s="585"/>
      <c r="L59" s="620"/>
      <c r="M59" s="620"/>
      <c r="N59" s="620"/>
      <c r="O59" s="620"/>
      <c r="P59" s="610"/>
    </row>
    <row r="60" spans="1:27">
      <c r="A60" s="612"/>
      <c r="B60" s="621"/>
      <c r="C60" s="621"/>
      <c r="D60" s="621"/>
      <c r="E60" s="621"/>
      <c r="F60" s="621"/>
      <c r="G60" s="621"/>
      <c r="H60" s="621"/>
      <c r="I60" s="622"/>
      <c r="J60" s="621"/>
      <c r="K60" s="621"/>
      <c r="L60" s="623"/>
      <c r="M60" s="623"/>
      <c r="N60" s="623"/>
      <c r="O60" s="623"/>
      <c r="P60" s="610"/>
    </row>
    <row r="61" spans="1:27" ht="30">
      <c r="A61" s="624"/>
      <c r="B61" s="625" t="s">
        <v>518</v>
      </c>
      <c r="C61" s="625" t="s">
        <v>102</v>
      </c>
      <c r="D61" s="625" t="s">
        <v>103</v>
      </c>
      <c r="E61" s="625" t="s">
        <v>104</v>
      </c>
      <c r="F61" s="625" t="s">
        <v>105</v>
      </c>
      <c r="G61" s="625" t="s">
        <v>106</v>
      </c>
      <c r="H61" s="625" t="s">
        <v>107</v>
      </c>
      <c r="I61" s="626" t="s">
        <v>108</v>
      </c>
      <c r="J61" s="615"/>
      <c r="K61" s="615"/>
      <c r="L61" s="623"/>
      <c r="M61" s="623"/>
      <c r="N61" s="623"/>
      <c r="O61" s="610"/>
      <c r="P61" s="610"/>
    </row>
    <row r="62" spans="1:27">
      <c r="A62" s="614" t="s">
        <v>280</v>
      </c>
      <c r="B62" s="627">
        <f t="shared" ref="B62:I62" si="2">$C$59*P42</f>
        <v>13699.244843398772</v>
      </c>
      <c r="C62" s="627">
        <f t="shared" si="2"/>
        <v>0</v>
      </c>
      <c r="D62" s="627">
        <f t="shared" si="2"/>
        <v>0</v>
      </c>
      <c r="E62" s="627">
        <f t="shared" si="2"/>
        <v>0</v>
      </c>
      <c r="F62" s="627">
        <f t="shared" si="2"/>
        <v>0</v>
      </c>
      <c r="G62" s="627">
        <f t="shared" si="2"/>
        <v>0</v>
      </c>
      <c r="H62" s="627">
        <f t="shared" si="2"/>
        <v>0</v>
      </c>
      <c r="I62" s="628">
        <f t="shared" si="2"/>
        <v>0</v>
      </c>
      <c r="J62" s="585"/>
      <c r="K62" s="585"/>
      <c r="L62" s="623"/>
      <c r="M62" s="623"/>
      <c r="N62" s="623"/>
      <c r="O62" s="610"/>
      <c r="P62" s="610"/>
    </row>
    <row r="63" spans="1:27" ht="15.75" thickBot="1">
      <c r="A63" s="629" t="s">
        <v>281</v>
      </c>
      <c r="B63" s="630">
        <f t="shared" ref="B63:I63" si="3">$B$59*P42</f>
        <v>19570.504191350265</v>
      </c>
      <c r="C63" s="630">
        <f t="shared" si="3"/>
        <v>0</v>
      </c>
      <c r="D63" s="630">
        <f t="shared" si="3"/>
        <v>0</v>
      </c>
      <c r="E63" s="630">
        <f t="shared" si="3"/>
        <v>0</v>
      </c>
      <c r="F63" s="630">
        <f t="shared" si="3"/>
        <v>0</v>
      </c>
      <c r="G63" s="630">
        <f t="shared" si="3"/>
        <v>0</v>
      </c>
      <c r="H63" s="630">
        <f t="shared" si="3"/>
        <v>0</v>
      </c>
      <c r="I63" s="631">
        <f t="shared" si="3"/>
        <v>0</v>
      </c>
      <c r="J63" s="585"/>
      <c r="K63" s="585"/>
      <c r="L63" s="623"/>
      <c r="M63" s="623"/>
      <c r="N63" s="623"/>
      <c r="O63" s="610"/>
      <c r="P63" s="610"/>
    </row>
    <row r="64" spans="1:27">
      <c r="J64" s="565"/>
      <c r="K64" s="565"/>
      <c r="L64" s="565"/>
      <c r="M64" s="565"/>
      <c r="N64" s="565"/>
    </row>
    <row r="65" spans="10:14">
      <c r="J65" s="565"/>
      <c r="K65" s="565"/>
      <c r="L65" s="565"/>
      <c r="M65" s="565"/>
      <c r="N65"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2021-06-29T14:23:27Z</dcterms:modified>
</cp:coreProperties>
</file>