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76" i="14" l="1"/>
  <c r="B8" i="59" s="1"/>
  <c r="B10" i="59" s="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56" i="22"/>
  <c r="C58" i="22" s="1"/>
  <c r="D49" i="14" s="1"/>
  <c r="D52" i="14" s="1"/>
  <c r="C17" i="49"/>
  <c r="C18" i="15"/>
  <c r="C20" i="15" s="1"/>
  <c r="D40" i="14" s="1"/>
  <c r="C16" i="22"/>
  <c r="C20" i="16"/>
  <c r="C22" i="16" s="1"/>
  <c r="D43" i="14" s="1"/>
  <c r="C10" i="17"/>
  <c r="C12" i="17" s="1"/>
  <c r="D54" i="14" s="1"/>
  <c r="D56" i="14" s="1"/>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<sst xmlns="http://schemas.openxmlformats.org/spreadsheetml/2006/main" count="2491" uniqueCount="911">
  <si>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</si>
  <si>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</si>
  <si>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</si>
  <si>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</si>
  <si>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</si>
  <si>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</si>
  <si>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</si>
  <si>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</si>
  <si>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</si>
  <si>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</si>
  <si>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</si>
  <si>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</si>
  <si>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</si>
  <si>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</si>
  <si>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</si>
  <si>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</si>
  <si>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</si>
  <si>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</si>
  <si>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</si>
  <si>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</si>
  <si>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</si>
  <si>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</si>
  <si>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</si>
  <si>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</si>
  <si>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</si>
  <si>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</si>
  <si>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</si>
  <si>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</si>
  <si>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</si>
  <si>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</si>
  <si>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</si>
  <si>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</si>
  <si>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</si>
  <si>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</si>
  <si>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</si>
  <si>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</si>
  <si>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</si>
  <si>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</si>
  <si>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</si>
  <si>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</si>
  <si>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</si>
  <si>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</si>
  <si>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</si>
  <si>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</si>
  <si>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</si>
  <si>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</si>
  <si>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</si>
  <si>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</si>
  <si>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</si>
  <si>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</si>
  <si>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</si>
  <si>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</si>
  <si>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</si>
  <si>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</si>
  <si>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</si>
  <si>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</si>
  <si>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</si>
  <si>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</si>
  <si>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</si>
  <si>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</si>
  <si>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</si>
  <si>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</si>
  <si>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</si>
  <si>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</si>
  <si>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</si>
  <si>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</si>
  <si>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</si>
  <si>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</si>
  <si>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</si>
  <si>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</si>
  <si>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</si>
  <si>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</si>
  <si>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</si>
  <si>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</si>
  <si>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</si>
  <si>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</si>
  <si>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</si>
  <si>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</si>
  <si>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</si>
  <si>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</si>
  <si>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</si>
  <si>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</si>
  <si>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</si>
  <si>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</si>
  <si>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</si>
  <si>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</si>
  <si>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</si>
  <si>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</si>
  <si>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</si>
  <si>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</si>
  <si>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</si>
  <si>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</si>
  <si>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</si>
  <si>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</si>
  <si>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</si>
  <si>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</si>
  <si>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</si>
  <si>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</si>
  <si>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</si>
  <si>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</si>
  <si>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</si>
  <si>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</si>
  <si>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</si>
  <si>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</si>
  <si>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</si>
  <si>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</si>
  <si>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</si>
  <si>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</si>
  <si>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</si>
  <si>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</si>
  <si>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</si>
  <si>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</si>
  <si>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</si>
  <si>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</si>
  <si>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</si>
  <si>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</si>
  <si>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</si>
  <si>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</si>
  <si>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</si>
  <si>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</si>
  <si>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</si>
  <si>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</si>
  <si>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</si>
  <si>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</si>
  <si>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</si>
  <si>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</si>
  <si>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</si>
  <si>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</si>
  <si>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</si>
  <si>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</si>
  <si>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</si>
  <si>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</si>
  <si>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</si>
  <si>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</si>
  <si>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</si>
  <si>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</si>
  <si>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</si>
  <si>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</si>
  <si>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</si>
  <si>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</si>
  <si>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</si>
  <si>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</si>
  <si>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</si>
  <si>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</si>
  <si>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</si>
  <si>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</si>
  <si>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</si>
  <si>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</si>
  <si>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</si>
  <si>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</si>
  <si>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</si>
  <si>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</si>
  <si>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</si>
  <si>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</si>
  <si>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</si>
  <si>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</si>
  <si>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</si>
  <si>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</si>
  <si>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</si>
  <si>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</si>
  <si>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</si>
  <si>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</si>
  <si>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</si>
  <si>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</si>
  <si>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</si>
  <si>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</si>
  <si>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</si>
  <si>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</si>
  <si>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</si>
  <si>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</si>
  <si>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</si>
  <si>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</si>
  <si>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</si>
  <si>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</si>
  <si>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</si>
  <si>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</si>
  <si>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</si>
  <si>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</si>
  <si>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</si>
  <si>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</si>
  <si>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</si>
  <si>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</si>
  <si>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</si>
  <si>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</si>
  <si>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</si>
  <si>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</si>
  <si>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</si>
  <si>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</si>
  <si>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</si>
  <si>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</si>
  <si>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</si>
  <si>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</si>
  <si>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</si>
  <si>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</si>
  <si>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</si>
  <si>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</si>
  <si>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</si>
  <si>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</si>
  <si>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</si>
  <si>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</si>
  <si>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</si>
  <si>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</si>
  <si>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</si>
  <si>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</si>
  <si>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</si>
  <si>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</si>
  <si>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</si>
  <si>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</si>
  <si>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</si>
  <si>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</si>
  <si>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</si>
  <si>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</si>
  <si>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</si>
  <si>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</si>
  <si>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</si>
  <si>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</si>
  <si>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</si>
  <si>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</si>
  <si>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</si>
  <si>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</si>
  <si>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</si>
  <si>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</si>
  <si>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</si>
  <si>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</si>
  <si>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</si>
  <si>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</si>
  <si>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</si>
  <si>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</si>
  <si>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</si>
  <si>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</si>
  <si>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</si>
  <si>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</si>
  <si>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</si>
  <si>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</si>
  <si>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</si>
  <si>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</si>
  <si>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</si>
  <si>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</si>
  <si>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</si>
  <si>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</si>
  <si>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</si>
  <si>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</si>
  <si>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</si>
  <si>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</si>
  <si>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</si>
  <si>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</si>
  <si>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</si>
  <si>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</si>
  <si>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</si>
  <si>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</si>
  <si>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</si>
  <si>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</si>
  <si>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</si>
  <si>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</si>
  <si>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</si>
  <si>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</si>
  <si>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</si>
  <si>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</si>
  <si>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</si>
  <si>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</si>
  <si>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</si>
  <si>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</si>
  <si>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</si>
  <si>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</si>
  <si>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</si>
  <si>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</si>
  <si>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</si>
  <si>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</si>
  <si>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</si>
  <si>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</si>
  <si>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</si>
  <si>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</si>
  <si>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</si>
  <si>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</si>
  <si>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</si>
  <si>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</si>
  <si>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</si>
  <si>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</si>
  <si>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</si>
  <si>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</si>
  <si>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</si>
  <si>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</si>
  <si>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</si>
  <si>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</si>
  <si>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</si>
  <si>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</si>
  <si>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</si>
  <si>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</si>
  <si>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</si>
  <si>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</si>
  <si>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</si>
  <si>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</si>
  <si>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</si>
  <si>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</si>
  <si>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</si>
  <si>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</si>
  <si>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</si>
  <si>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</si>
  <si>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</si>
  <si>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</si>
  <si>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</si>
  <si>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</si>
  <si>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</si>
  <si>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</si>
  <si>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</si>
  <si>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</si>
  <si>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</si>
  <si>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</si>
  <si>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</si>
  <si>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</si>
  <si>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</si>
  <si>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</si>
  <si>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</si>
  <si>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</si>
  <si>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</si>
  <si>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</si>
  <si>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</si>
  <si>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</si>
  <si>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</si>
  <si>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</si>
  <si>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</si>
  <si>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</si>
  <si>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</si>
  <si>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</si>
  <si>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</si>
  <si>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</si>
  <si>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</si>
  <si>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</si>
  <si>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</si>
  <si>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</si>
  <si>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</si>
  <si>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</si>
  <si>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</si>
  <si>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</si>
  <si>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</si>
  <si>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</si>
  <si>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</si>
  <si>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</si>
  <si>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</si>
  <si>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</si>
  <si>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</si>
  <si>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</si>
  <si>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</si>
  <si>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</si>
  <si>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</si>
  <si>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</si>
  <si>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</si>
  <si>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</si>
  <si>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</si>
  <si>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</si>
  <si>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</si>
  <si>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</si>
  <si>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</si>
  <si>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</si>
  <si>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</si>
  <si>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</si>
  <si>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</si>
  <si>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</si>
  <si>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</si>
  <si>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</si>
  <si>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</si>
  <si>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</si>
  <si>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</si>
  <si>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</si>
  <si>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</si>
  <si>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</si>
  <si>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</si>
  <si>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</si>
  <si>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</si>
  <si>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</si>
  <si>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</si>
  <si>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</si>
  <si>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</si>
  <si>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</si>
  <si>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</si>
  <si>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</si>
  <si>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</si>
  <si>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</si>
  <si>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</si>
  <si>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</si>
  <si>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</si>
  <si>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</si>
  <si>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</si>
  <si>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</si>
  <si>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</si>
  <si>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</si>
  <si>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</si>
  <si>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</si>
  <si>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</si>
  <si>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</si>
  <si>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</si>
  <si>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</si>
  <si>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</si>
  <si>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</si>
  <si>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</si>
  <si>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</si>
  <si>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</si>
  <si>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</si>
  <si>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</si>
  <si>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</si>
  <si>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</si>
  <si>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</si>
  <si>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</si>
  <si>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</si>
  <si>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</si>
  <si>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</si>
  <si>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</si>
  <si>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</si>
  <si>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</si>
  <si>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</si>
  <si>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</si>
  <si>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</si>
  <si>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</si>
  <si>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</si>
  <si>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</si>
  <si>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</si>
  <si>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</si>
  <si>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</si>
  <si>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</si>
  <si>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</si>
  <si>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</si>
  <si>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</si>
  <si>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</si>
  <si>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</si>
  <si>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</si>
  <si>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</si>
  <si>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</si>
  <si>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</si>
  <si>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</si>
  <si>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</si>
  <si>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</si>
  <si>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</si>
  <si>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</si>
  <si>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</si>
  <si>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</si>
  <si>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</si>
  <si>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</si>
  <si>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</si>
  <si>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</si>
  <si>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</si>
  <si>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</si>
  <si>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</si>
  <si>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</si>
  <si>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</si>
  <si>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</si>
  <si>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</si>
  <si>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</si>
  <si>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</si>
  <si>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</si>
  <si>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</si>
  <si>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</si>
  <si>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</si>
  <si>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</si>
  <si>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</si>
  <si>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</si>
  <si>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</si>
  <si>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</si>
  <si>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</si>
  <si>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</si>
  <si>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</si>
  <si>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</si>
  <si>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</si>
  <si>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</si>
  <si>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</si>
  <si>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</si>
  <si>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</si>
  <si>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</si>
  <si>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</si>
  <si>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</si>
  <si>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</si>
  <si>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</si>
  <si>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</si>
  <si>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</si>
  <si>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</si>
  <si>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</si>
  <si>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</si>
  <si>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</si>
  <si>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</si>
  <si>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</si>
  <si>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</si>
  <si>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</si>
  <si>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</si>
  <si>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</si>
  <si>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</si>
  <si>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</si>
  <si>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</si>
  <si>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</si>
  <si>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</si>
  <si>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</si>
  <si>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</si>
  <si>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</si>
  <si>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</si>
  <si>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</si>
  <si>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</si>
  <si>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</si>
  <si>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</si>
  <si>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</si>
  <si>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</si>
  <si>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</si>
  <si>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</si>
  <si>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</si>
  <si>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</si>
  <si>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</si>
  <si>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</si>
  <si>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</si>
  <si>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</si>
  <si>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</si>
  <si>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</si>
  <si>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</si>
  <si>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</si>
  <si>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</si>
  <si>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</si>
  <si>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</si>
  <si>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</si>
  <si>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</si>
  <si>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</si>
  <si>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</si>
  <si>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</si>
  <si>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</si>
  <si>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</si>
  <si>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</si>
  <si>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</si>
  <si>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</si>
  <si>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</si>
  <si>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</si>
  <si>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</si>
  <si>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</si>
  <si>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</si>
  <si>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</si>
  <si>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</si>
  <si>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</si>
  <si>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</si>
  <si>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</si>
  <si>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</si>
  <si>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</si>
  <si>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</si>
  <si>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</si>
  <si>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</si>
  <si>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</si>
  <si>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</si>
  <si>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</si>
  <si>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</si>
  <si>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</si>
  <si>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</si>
  <si>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</si>
  <si>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</si>
  <si>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</si>
  <si>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</si>
  <si>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</si>
  <si>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</si>
  <si>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</si>
  <si>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</si>
  <si>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</si>
  <si>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</si>
  <si>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</si>
  <si>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</si>
  <si>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</si>
  <si>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</si>
  <si>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</si>
  <si>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</si>
  <si>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</si>
  <si>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</si>
  <si>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</si>
  <si>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</si>
  <si>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</si>
  <si>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</si>
  <si>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</si>
  <si>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</si>
  <si>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</si>
  <si>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</si>
  <si>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</si>
  <si>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</si>
  <si>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</si>
  <si>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</si>
  <si>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</si>
  <si>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</si>
  <si>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</si>
  <si>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</si>
  <si>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</si>
  <si>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</si>
  <si>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</si>
  <si>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</si>
  <si>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</si>
  <si>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</si>
  <si>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</si>
  <si>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</si>
  <si>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</si>
  <si>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</si>
  <si>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</si>
  <si>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</si>
  <si>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</si>
  <si>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</si>
  <si>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</si>
  <si>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</si>
  <si>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</si>
  <si>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</si>
  <si>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</si>
  <si>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</si>
  <si>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</si>
  <si>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</si>
  <si>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</si>
  <si>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</si>
  <si>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</si>
  <si>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</si>
  <si>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</si>
  <si>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</si>
  <si>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</si>
  <si>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</si>
  <si>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</si>
  <si>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</si>
  <si>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</si>
  <si>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</si>
  <si>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</si>
  <si>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</si>
  <si>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</si>
  <si>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</si>
  <si>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</si>
  <si>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</si>
  <si>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</si>
  <si>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</si>
  <si>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</si>
  <si>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</si>
  <si>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</si>
  <si>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</si>
  <si>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</si>
  <si>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</si>
  <si>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</si>
  <si>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</si>
  <si>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</si>
  <si>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</si>
  <si>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</si>
  <si>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</si>
  <si>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</si>
  <si>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</si>
  <si>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</si>
  <si>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</si>
  <si>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</si>
  <si>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</si>
  <si>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</si>
  <si>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</si>
  <si>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</si>
  <si>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</si>
  <si>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</si>
  <si>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</si>
  <si>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</si>
  <si>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</si>
  <si>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</si>
  <si>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</si>
  <si>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</si>
  <si>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</si>
  <si>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</si>
  <si>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</si>
  <si>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</si>
  <si>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</si>
  <si>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</si>
  <si>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</si>
  <si>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</si>
  <si>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</si>
  <si>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</si>
  <si>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</si>
  <si>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</si>
  <si>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</si>
  <si>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</si>
  <si>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</si>
  <si>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</si>
  <si>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</si>
  <si>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</si>
  <si>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</si>
  <si>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</si>
  <si>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</si>
  <si>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</si>
  <si>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</si>
  <si>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</si>
  <si>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</si>
  <si>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</si>
  <si>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</si>
  <si>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</si>
  <si>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</si>
  <si>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</si>
  <si>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</si>
  <si>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</si>
  <si>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</si>
  <si>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</si>
  <si>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</si>
  <si>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</si>
  <si>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</si>
  <si>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</si>
  <si>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</si>
  <si>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</si>
  <si>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</si>
  <si>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</si>
  <si>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</si>
  <si>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</si>
  <si>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</si>
  <si>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</si>
  <si>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</si>
  <si>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</si>
  <si>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</si>
  <si>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</si>
  <si>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</si>
  <si>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</si>
  <si>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</si>
  <si>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</si>
  <si>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</si>
  <si>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</si>
  <si>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</si>
  <si>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</si>
  <si>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</si>
  <si>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</si>
  <si>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</si>
  <si>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</si>
  <si>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</si>
  <si>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</si>
  <si>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</si>
  <si>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</si>
  <si>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</si>
  <si>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</si>
  <si>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</si>
  <si>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</si>
  <si>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</si>
  <si>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</si>
  <si>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</si>
  <si>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</si>
  <si>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</si>
  <si>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</si>
  <si>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</si>
  <si>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</si>
  <si>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</si>
  <si>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</si>
  <si>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</si>
  <si>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</si>
  <si>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</si>
  <si>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</si>
  <si>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</si>
  <si>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</si>
  <si>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</si>
  <si>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</si>
  <si>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</si>
  <si>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</si>
  <si>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</si>
  <si>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</si>
  <si>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</si>
  <si>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</si>
  <si>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</si>
  <si>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</si>
  <si>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</si>
  <si>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</si>
  <si>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</si>
  <si>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</si>
  <si>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</si>
  <si>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</si>
  <si>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</si>
  <si>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</si>
  <si>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</si>
  <si>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</si>
  <si>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</si>
  <si>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</si>
  <si>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</si>
  <si>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</si>
  <si>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</si>
  <si>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</si>
  <si>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</si>
  <si>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</si>
  <si>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</si>
  <si>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</si>
  <si>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</si>
  <si>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</si>
  <si>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</si>
  <si>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</si>
  <si>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</si>
  <si>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</si>
  <si>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</si>
  <si>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</si>
  <si>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</si>
  <si>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</si>
  <si>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</si>
  <si>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</si>
  <si>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</si>
  <si>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</si>
  <si>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</si>
  <si>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</si>
  <si>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</si>
  <si>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</si>
  <si>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</si>
  <si>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</si>
  <si>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</si>
  <si>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</si>
  <si>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</si>
  <si>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</si>
  <si>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</si>
  <si>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</si>
  <si>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</si>
  <si>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</si>
  <si>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</si>
  <si>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</si>
  <si>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</si>
  <si>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</si>
  <si>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</si>
  <si>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</si>
  <si>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</si>
  <si>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</si>
  <si>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</si>
  <si>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</si>
  <si>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</si>
  <si>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</si>
  <si>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</si>
  <si>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</si>
  <si>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</si>
  <si>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</si>
  <si>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</si>
  <si>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</si>
  <si>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</si>
  <si>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</si>
  <si>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</si>
  <si>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</si>
  <si>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</si>
  <si>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</si>
  <si>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</si>
  <si>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</si>
  <si>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</si>
  <si>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</si>
  <si>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</si>
  <si>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</si>
  <si>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</si>
  <si>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</si>
  <si>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</si>
  <si>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</si>
  <si>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</si>
  <si>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</si>
  <si>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</si>
  <si>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</si>
  <si>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</si>
  <si>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</si>
  <si>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</si>
  <si>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</si>
  <si>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</si>
  <si>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</si>
  <si>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</si>
  <si>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</si>
  <si>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</si>
  <si>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</si>
  <si>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</si>
  <si>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</si>
  <si>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</si>
  <si>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</si>
  <si>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</si>
  <si>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</si>
  <si>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</si>
  <si>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</si>
  <si>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</si>
  <si>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</si>
  <si>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</si>
  <si>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</si>
  <si>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</si>
  <si>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</si>
  <si>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</si>
  <si>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</si>
  <si>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</si>
  <si>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</si>
  <si>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</si>
  <si>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</si>
  <si>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</si>
  <si>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</si>
  <si>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</si>
  <si>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</si>
  <si>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</si>
  <si>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</si>
  <si>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</si>
  <si>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</si>
  <si>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</si>
  <si>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</si>
  <si>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</si>
  <si>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</si>
  <si>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</si>
  <si>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</si>
  <si>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</si>
  <si>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</si>
  <si>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</si>
  <si>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</si>
  <si>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</si>
  <si>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</si>
  <si>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</si>
  <si>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</si>
  <si>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</si>
  <si>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</si>
  <si>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</si>
  <si>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</si>
  <si>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</si>
  <si>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</si>
  <si>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</si>
  <si>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</si>
  <si>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</si>
  <si>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</si>
  <si>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</si>
  <si>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</si>
  <si>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</si>
  <si>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</si>
  <si>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</si>
  <si>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</si>
  <si>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</si>
  <si>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</si>
  <si>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</si>
  <si>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</si>
  <si>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72038</t>
  </si>
  <si>
    <t>HECHTEL-EKSEL</t>
  </si>
  <si>
    <t>referentietaak LNE (2017); Jaarverslag De Lijn</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</si>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</sst>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102354.72422686666</c:v>
                </c:pt>
                <c:pt idx="1">
                  <c:v>16603.766380060417</c:v>
                </c:pt>
                <c:pt idx="2">
                  <c:v>975.226</c:v>
                </c:pt>
                <c:pt idx="3">
                  <c:v>3046.2106065307166</c:v>
                </c:pt>
                <c:pt idx="4">
                  <c:v>7862.2292627252455</c:v>
                </c:pt>
                <c:pt idx="5">
                  <c:v>115667.35577783675</c:v>
                </c:pt>
                <c:pt idx="6">
                  <c:v>2056.3037519159921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102354.72422686666</c:v>
                </c:pt>
                <c:pt idx="1">
                  <c:v>16603.766380060417</c:v>
                </c:pt>
                <c:pt idx="2">
                  <c:v>975.226</c:v>
                </c:pt>
                <c:pt idx="3">
                  <c:v>3046.2106065307166</c:v>
                </c:pt>
                <c:pt idx="4">
                  <c:v>7862.2292627252455</c:v>
                </c:pt>
                <c:pt idx="5">
                  <c:v>115667.35577783675</c:v>
                </c:pt>
                <c:pt idx="6">
                  <c:v>2056.3037519159921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20776.020008725136</c:v>
                </c:pt>
                <c:pt idx="1">
                  <c:v>3127.2660132682108</c:v>
                </c:pt>
                <c:pt idx="2">
                  <c:v>174.66159068053241</c:v>
                </c:pt>
                <c:pt idx="3">
                  <c:v>770.10963418647725</c:v>
                </c:pt>
                <c:pt idx="4">
                  <c:v>1570.3176512288426</c:v>
                </c:pt>
                <c:pt idx="5">
                  <c:v>28794.707089546442</c:v>
                </c:pt>
                <c:pt idx="6">
                  <c:v>517.68889909112886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20776.020008725136</c:v>
                </c:pt>
                <c:pt idx="1">
                  <c:v>3127.2660132682108</c:v>
                </c:pt>
                <c:pt idx="2">
                  <c:v>174.66159068053241</c:v>
                </c:pt>
                <c:pt idx="3">
                  <c:v>770.10963418647725</c:v>
                </c:pt>
                <c:pt idx="4">
                  <c:v>1570.3176512288426</c:v>
                </c:pt>
                <c:pt idx="5">
                  <c:v>28794.707089546442</c:v>
                </c:pt>
                <c:pt idx="6">
                  <c:v>517.68889909112886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72038</v>
      </c>
      <c r="B6" s="386"/>
      <c r="C6" s="387"/>
    </row>
    <row r="7" spans="1:7" s="384" customFormat="1" ht="15.75" customHeight="1">
      <c r="A7" s="388" t="str">
        <f>txtMunicipality</f>
        <v>HECHTEL-EKSEL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8736.1622819999993</v>
      </c>
      <c r="D10" s="681">
        <f ca="1">tertiair!C16</f>
        <v>128.57142857142858</v>
      </c>
      <c r="E10" s="681">
        <f ca="1">tertiair!D16</f>
        <v>7186.1923971571441</v>
      </c>
      <c r="F10" s="681">
        <f>tertiair!E16</f>
        <v>112.7988274164836</v>
      </c>
      <c r="G10" s="681">
        <f ca="1">tertiair!F16</f>
        <v>859.61651120755459</v>
      </c>
      <c r="H10" s="681">
        <f>tertiair!G16</f>
        <v>0</v>
      </c>
      <c r="I10" s="681">
        <f>tertiair!H16</f>
        <v>0</v>
      </c>
      <c r="J10" s="681">
        <f>tertiair!I16</f>
        <v>0</v>
      </c>
      <c r="K10" s="681">
        <f>tertiair!J16</f>
        <v>1.3915376921918115E-2</v>
      </c>
      <c r="L10" s="681">
        <f>tertiair!K16</f>
        <v>0</v>
      </c>
      <c r="M10" s="681">
        <f ca="1">tertiair!L16</f>
        <v>0</v>
      </c>
      <c r="N10" s="681">
        <f>tertiair!M16</f>
        <v>0</v>
      </c>
      <c r="O10" s="681">
        <f ca="1">tertiair!N16</f>
        <v>550.73975756504649</v>
      </c>
      <c r="P10" s="681">
        <f>tertiair!O16</f>
        <v>4.8972607658411542</v>
      </c>
      <c r="Q10" s="682">
        <f>tertiair!P16</f>
        <v>0</v>
      </c>
      <c r="R10" s="684">
        <f ca="1">SUM(C10:Q10)</f>
        <v>17578.992380060423</v>
      </c>
      <c r="S10" s="67"/>
    </row>
    <row r="11" spans="1:19" s="444" customFormat="1">
      <c r="A11" s="802" t="s">
        <v>219</v>
      </c>
      <c r="B11" s="807"/>
      <c r="C11" s="681">
        <f>huishoudens!B8</f>
        <v>21768.302873524524</v>
      </c>
      <c r="D11" s="681">
        <f>huishoudens!C8</f>
        <v>0</v>
      </c>
      <c r="E11" s="681">
        <f>huishoudens!D8</f>
        <v>35238.636814700003</v>
      </c>
      <c r="F11" s="681">
        <f>huishoudens!E8</f>
        <v>2142.8910092312763</v>
      </c>
      <c r="G11" s="681">
        <f>huishoudens!F8</f>
        <v>34546.25912751985</v>
      </c>
      <c r="H11" s="681">
        <f>huishoudens!G8</f>
        <v>0</v>
      </c>
      <c r="I11" s="681">
        <f>huishoudens!H8</f>
        <v>0</v>
      </c>
      <c r="J11" s="681">
        <f>huishoudens!I8</f>
        <v>0</v>
      </c>
      <c r="K11" s="681">
        <f>huishoudens!J8</f>
        <v>138.01078213354293</v>
      </c>
      <c r="L11" s="681">
        <f>huishoudens!K8</f>
        <v>0</v>
      </c>
      <c r="M11" s="681">
        <f>huishoudens!L8</f>
        <v>0</v>
      </c>
      <c r="N11" s="681">
        <f>huishoudens!M8</f>
        <v>0</v>
      </c>
      <c r="O11" s="681">
        <f>huishoudens!N8</f>
        <v>7086.9702329395968</v>
      </c>
      <c r="P11" s="681">
        <f>huishoudens!O8</f>
        <v>527.73288635695042</v>
      </c>
      <c r="Q11" s="682">
        <f>huishoudens!P8</f>
        <v>905.92050046091197</v>
      </c>
      <c r="R11" s="684">
        <f>SUM(C11:Q11)</f>
        <v>102354.72422686666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3514.0251069999995</v>
      </c>
      <c r="D13" s="681">
        <f>industrie!C18</f>
        <v>0</v>
      </c>
      <c r="E13" s="681">
        <f>industrie!D18</f>
        <v>2542.770116612</v>
      </c>
      <c r="F13" s="681">
        <f>industrie!E18</f>
        <v>378.91534392473005</v>
      </c>
      <c r="G13" s="681">
        <f>industrie!F18</f>
        <v>1270.5592107058592</v>
      </c>
      <c r="H13" s="681">
        <f>industrie!G18</f>
        <v>0</v>
      </c>
      <c r="I13" s="681">
        <f>industrie!H18</f>
        <v>0</v>
      </c>
      <c r="J13" s="681">
        <f>industrie!I18</f>
        <v>0</v>
      </c>
      <c r="K13" s="681">
        <f>industrie!J18</f>
        <v>5.8420693620951729</v>
      </c>
      <c r="L13" s="681">
        <f>industrie!K18</f>
        <v>0</v>
      </c>
      <c r="M13" s="681">
        <f>industrie!L18</f>
        <v>0</v>
      </c>
      <c r="N13" s="681">
        <f>industrie!M18</f>
        <v>0</v>
      </c>
      <c r="O13" s="681">
        <f>industrie!N18</f>
        <v>150.11741512056068</v>
      </c>
      <c r="P13" s="681">
        <f>industrie!O18</f>
        <v>0</v>
      </c>
      <c r="Q13" s="682">
        <f>industrie!P18</f>
        <v>0</v>
      </c>
      <c r="R13" s="684">
        <f>SUM(C13:Q13)</f>
        <v>7862.2292627252455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34018.490262524523</v>
      </c>
      <c r="D16" s="717">
        <f t="shared" ref="D16:R16" ca="1" si="0">SUM(D9:D15)</f>
        <v>128.57142857142858</v>
      </c>
      <c r="E16" s="717">
        <f t="shared" ca="1" si="0"/>
        <v>44967.59932846915</v>
      </c>
      <c r="F16" s="717">
        <f t="shared" si="0"/>
        <v>2634.6051805724901</v>
      </c>
      <c r="G16" s="717">
        <f t="shared" ca="1" si="0"/>
        <v>36676.434849433266</v>
      </c>
      <c r="H16" s="717">
        <f t="shared" si="0"/>
        <v>0</v>
      </c>
      <c r="I16" s="717">
        <f t="shared" si="0"/>
        <v>0</v>
      </c>
      <c r="J16" s="717">
        <f t="shared" si="0"/>
        <v>0</v>
      </c>
      <c r="K16" s="717">
        <f t="shared" si="0"/>
        <v>143.86676687256002</v>
      </c>
      <c r="L16" s="717">
        <f t="shared" si="0"/>
        <v>0</v>
      </c>
      <c r="M16" s="717">
        <f t="shared" ca="1" si="0"/>
        <v>0</v>
      </c>
      <c r="N16" s="717">
        <f t="shared" si="0"/>
        <v>0</v>
      </c>
      <c r="O16" s="717">
        <f t="shared" ca="1" si="0"/>
        <v>7787.8274056252039</v>
      </c>
      <c r="P16" s="717">
        <f t="shared" si="0"/>
        <v>532.63014712279153</v>
      </c>
      <c r="Q16" s="717">
        <f t="shared" si="0"/>
        <v>905.92050046091197</v>
      </c>
      <c r="R16" s="717">
        <f t="shared" ca="1" si="0"/>
        <v>127795.94586965232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26.515988564437688</v>
      </c>
      <c r="D19" s="681">
        <f>transport!C54</f>
        <v>0</v>
      </c>
      <c r="E19" s="681">
        <f>transport!D54</f>
        <v>0</v>
      </c>
      <c r="F19" s="681">
        <f>transport!E54</f>
        <v>0</v>
      </c>
      <c r="G19" s="681">
        <f>transport!F54</f>
        <v>0</v>
      </c>
      <c r="H19" s="681">
        <f>transport!G54</f>
        <v>1921.123307946857</v>
      </c>
      <c r="I19" s="681">
        <f>transport!H54</f>
        <v>0</v>
      </c>
      <c r="J19" s="681">
        <f>transport!I54</f>
        <v>0</v>
      </c>
      <c r="K19" s="681">
        <f>transport!J54</f>
        <v>0</v>
      </c>
      <c r="L19" s="681">
        <f>transport!K54</f>
        <v>0</v>
      </c>
      <c r="M19" s="681">
        <f>transport!L54</f>
        <v>0</v>
      </c>
      <c r="N19" s="681">
        <f>transport!M54</f>
        <v>108.66445540469725</v>
      </c>
      <c r="O19" s="681">
        <f>transport!N54</f>
        <v>0</v>
      </c>
      <c r="P19" s="681">
        <f>transport!O54</f>
        <v>0</v>
      </c>
      <c r="Q19" s="682">
        <f>transport!P54</f>
        <v>0</v>
      </c>
      <c r="R19" s="684">
        <f>SUM(C19:Q19)</f>
        <v>2056.3037519159921</v>
      </c>
      <c r="S19" s="67"/>
    </row>
    <row r="20" spans="1:19" s="444" customFormat="1">
      <c r="A20" s="802" t="s">
        <v>301</v>
      </c>
      <c r="B20" s="807"/>
      <c r="C20" s="681">
        <f>transport!B14</f>
        <v>123.3930224368425</v>
      </c>
      <c r="D20" s="681">
        <f>transport!C14</f>
        <v>0</v>
      </c>
      <c r="E20" s="681">
        <f>transport!D14</f>
        <v>212.1138575590038</v>
      </c>
      <c r="F20" s="681">
        <f>transport!E14</f>
        <v>184.97710520077015</v>
      </c>
      <c r="G20" s="681">
        <f>transport!F14</f>
        <v>0</v>
      </c>
      <c r="H20" s="681">
        <f>transport!G14</f>
        <v>89828.562548790389</v>
      </c>
      <c r="I20" s="681">
        <f>transport!H14</f>
        <v>18889.737236749239</v>
      </c>
      <c r="J20" s="681">
        <f>transport!I14</f>
        <v>0</v>
      </c>
      <c r="K20" s="681">
        <f>transport!J14</f>
        <v>0</v>
      </c>
      <c r="L20" s="681">
        <f>transport!K14</f>
        <v>0</v>
      </c>
      <c r="M20" s="681">
        <f>transport!L14</f>
        <v>0</v>
      </c>
      <c r="N20" s="681">
        <f>transport!M14</f>
        <v>6428.5720071005244</v>
      </c>
      <c r="O20" s="681">
        <f>transport!N14</f>
        <v>0</v>
      </c>
      <c r="P20" s="681">
        <f>transport!O14</f>
        <v>0</v>
      </c>
      <c r="Q20" s="682">
        <f>transport!P14</f>
        <v>0</v>
      </c>
      <c r="R20" s="684">
        <f>SUM(C20:Q20)</f>
        <v>115667.35577783675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149.90901100128019</v>
      </c>
      <c r="D22" s="805">
        <f t="shared" ref="D22:R22" si="1">SUM(D18:D21)</f>
        <v>0</v>
      </c>
      <c r="E22" s="805">
        <f t="shared" si="1"/>
        <v>212.1138575590038</v>
      </c>
      <c r="F22" s="805">
        <f t="shared" si="1"/>
        <v>184.97710520077015</v>
      </c>
      <c r="G22" s="805">
        <f t="shared" si="1"/>
        <v>0</v>
      </c>
      <c r="H22" s="805">
        <f t="shared" si="1"/>
        <v>91749.68585673724</v>
      </c>
      <c r="I22" s="805">
        <f t="shared" si="1"/>
        <v>18889.737236749239</v>
      </c>
      <c r="J22" s="805">
        <f t="shared" si="1"/>
        <v>0</v>
      </c>
      <c r="K22" s="805">
        <f t="shared" si="1"/>
        <v>0</v>
      </c>
      <c r="L22" s="805">
        <f t="shared" si="1"/>
        <v>0</v>
      </c>
      <c r="M22" s="805">
        <f t="shared" si="1"/>
        <v>0</v>
      </c>
      <c r="N22" s="805">
        <f t="shared" si="1"/>
        <v>6537.2364625052214</v>
      </c>
      <c r="O22" s="805">
        <f t="shared" si="1"/>
        <v>0</v>
      </c>
      <c r="P22" s="805">
        <f t="shared" si="1"/>
        <v>0</v>
      </c>
      <c r="Q22" s="805">
        <f t="shared" si="1"/>
        <v>0</v>
      </c>
      <c r="R22" s="805">
        <f t="shared" si="1"/>
        <v>117723.65952975275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620.40800000000002</v>
      </c>
      <c r="D24" s="681">
        <f>+landbouw!C8</f>
        <v>0</v>
      </c>
      <c r="E24" s="681">
        <f>+landbouw!D8</f>
        <v>42.922572000000002</v>
      </c>
      <c r="F24" s="681">
        <f>+landbouw!E8</f>
        <v>19.362729094680862</v>
      </c>
      <c r="G24" s="681">
        <f>+landbouw!F8</f>
        <v>2192.5905989442626</v>
      </c>
      <c r="H24" s="681">
        <f>+landbouw!G8</f>
        <v>0</v>
      </c>
      <c r="I24" s="681">
        <f>+landbouw!H8</f>
        <v>0</v>
      </c>
      <c r="J24" s="681">
        <f>+landbouw!I8</f>
        <v>0</v>
      </c>
      <c r="K24" s="681">
        <f>+landbouw!J8</f>
        <v>170.92670649177325</v>
      </c>
      <c r="L24" s="681">
        <f>+landbouw!K8</f>
        <v>0</v>
      </c>
      <c r="M24" s="681">
        <f>+landbouw!L8</f>
        <v>0</v>
      </c>
      <c r="N24" s="681">
        <f>+landbouw!M8</f>
        <v>0</v>
      </c>
      <c r="O24" s="681">
        <f>+landbouw!N8</f>
        <v>0</v>
      </c>
      <c r="P24" s="681">
        <f>+landbouw!O8</f>
        <v>0</v>
      </c>
      <c r="Q24" s="682">
        <f>+landbouw!P8</f>
        <v>0</v>
      </c>
      <c r="R24" s="684">
        <f>SUM(C24:Q24)</f>
        <v>3046.2106065307166</v>
      </c>
      <c r="S24" s="67"/>
    </row>
    <row r="25" spans="1:19" s="444" customFormat="1" ht="15" thickBot="1">
      <c r="A25" s="824" t="s">
        <v>714</v>
      </c>
      <c r="B25" s="943"/>
      <c r="C25" s="944">
        <f>IF(Onbekend_ele_kWh="---",0,Onbekend_ele_kWh)/1000+IF(REST_rest_ele_kWh="---",0,REST_rest_ele_kWh)/1000</f>
        <v>269.98009999999999</v>
      </c>
      <c r="D25" s="944"/>
      <c r="E25" s="944">
        <f>IF(onbekend_gas_kWh="---",0,onbekend_gas_kWh)/1000+IF(REST_rest_gas_kWh="---",0,REST_rest_gas_kWh)/1000</f>
        <v>426.3716</v>
      </c>
      <c r="F25" s="944"/>
      <c r="G25" s="944"/>
      <c r="H25" s="944"/>
      <c r="I25" s="944"/>
      <c r="J25" s="944"/>
      <c r="K25" s="944"/>
      <c r="L25" s="944"/>
      <c r="M25" s="944"/>
      <c r="N25" s="944"/>
      <c r="O25" s="944"/>
      <c r="P25" s="944"/>
      <c r="Q25" s="945"/>
      <c r="R25" s="684">
        <f>SUM(C25:Q25)</f>
        <v>696.35169999999994</v>
      </c>
      <c r="S25" s="67"/>
    </row>
    <row r="26" spans="1:19" s="444" customFormat="1" ht="15.75" thickBot="1">
      <c r="A26" s="689" t="s">
        <v>715</v>
      </c>
      <c r="B26" s="810"/>
      <c r="C26" s="805">
        <f>SUM(C24:C25)</f>
        <v>890.38810000000001</v>
      </c>
      <c r="D26" s="805">
        <f t="shared" ref="D26:R26" si="2">SUM(D24:D25)</f>
        <v>0</v>
      </c>
      <c r="E26" s="805">
        <f t="shared" si="2"/>
        <v>469.294172</v>
      </c>
      <c r="F26" s="805">
        <f t="shared" si="2"/>
        <v>19.362729094680862</v>
      </c>
      <c r="G26" s="805">
        <f t="shared" si="2"/>
        <v>2192.5905989442626</v>
      </c>
      <c r="H26" s="805">
        <f t="shared" si="2"/>
        <v>0</v>
      </c>
      <c r="I26" s="805">
        <f t="shared" si="2"/>
        <v>0</v>
      </c>
      <c r="J26" s="805">
        <f t="shared" si="2"/>
        <v>0</v>
      </c>
      <c r="K26" s="805">
        <f t="shared" si="2"/>
        <v>170.92670649177325</v>
      </c>
      <c r="L26" s="805">
        <f t="shared" si="2"/>
        <v>0</v>
      </c>
      <c r="M26" s="805">
        <f t="shared" si="2"/>
        <v>0</v>
      </c>
      <c r="N26" s="805">
        <f t="shared" si="2"/>
        <v>0</v>
      </c>
      <c r="O26" s="805">
        <f t="shared" si="2"/>
        <v>0</v>
      </c>
      <c r="P26" s="805">
        <f t="shared" si="2"/>
        <v>0</v>
      </c>
      <c r="Q26" s="805">
        <f t="shared" si="2"/>
        <v>0</v>
      </c>
      <c r="R26" s="805">
        <f t="shared" si="2"/>
        <v>3742.5623065307163</v>
      </c>
      <c r="S26" s="67"/>
    </row>
    <row r="27" spans="1:19" s="444" customFormat="1" ht="17.25" thickTop="1" thickBot="1">
      <c r="A27" s="690" t="s">
        <v>115</v>
      </c>
      <c r="B27" s="797"/>
      <c r="C27" s="691">
        <f ca="1">C22+C16+C26</f>
        <v>35058.787373525796</v>
      </c>
      <c r="D27" s="691">
        <f t="shared" ref="D27:R27" ca="1" si="3">D22+D16+D26</f>
        <v>128.57142857142858</v>
      </c>
      <c r="E27" s="691">
        <f t="shared" ca="1" si="3"/>
        <v>45649.007358028153</v>
      </c>
      <c r="F27" s="691">
        <f t="shared" si="3"/>
        <v>2838.9450148679412</v>
      </c>
      <c r="G27" s="691">
        <f t="shared" ca="1" si="3"/>
        <v>38869.025448377528</v>
      </c>
      <c r="H27" s="691">
        <f t="shared" si="3"/>
        <v>91749.68585673724</v>
      </c>
      <c r="I27" s="691">
        <f t="shared" si="3"/>
        <v>18889.737236749239</v>
      </c>
      <c r="J27" s="691">
        <f t="shared" si="3"/>
        <v>0</v>
      </c>
      <c r="K27" s="691">
        <f t="shared" si="3"/>
        <v>314.79347336433329</v>
      </c>
      <c r="L27" s="691">
        <f t="shared" si="3"/>
        <v>0</v>
      </c>
      <c r="M27" s="691">
        <f t="shared" ca="1" si="3"/>
        <v>0</v>
      </c>
      <c r="N27" s="691">
        <f t="shared" si="3"/>
        <v>6537.2364625052214</v>
      </c>
      <c r="O27" s="691">
        <f t="shared" ca="1" si="3"/>
        <v>7787.8274056252039</v>
      </c>
      <c r="P27" s="691">
        <f t="shared" si="3"/>
        <v>532.63014712279153</v>
      </c>
      <c r="Q27" s="691">
        <f t="shared" si="3"/>
        <v>905.92050046091197</v>
      </c>
      <c r="R27" s="691">
        <f t="shared" ca="1" si="3"/>
        <v>249262.16770593578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1564.6342495148715</v>
      </c>
      <c r="D40" s="681">
        <f ca="1">tertiair!C20</f>
        <v>30.554621848739504</v>
      </c>
      <c r="E40" s="681">
        <f ca="1">tertiair!D20</f>
        <v>1451.6108642257432</v>
      </c>
      <c r="F40" s="681">
        <f>tertiair!E20</f>
        <v>25.60533382354178</v>
      </c>
      <c r="G40" s="681">
        <f ca="1">tertiair!F20</f>
        <v>229.51760849241708</v>
      </c>
      <c r="H40" s="681">
        <f>tertiair!G20</f>
        <v>0</v>
      </c>
      <c r="I40" s="681">
        <f>tertiair!H20</f>
        <v>0</v>
      </c>
      <c r="J40" s="681">
        <f>tertiair!I20</f>
        <v>0</v>
      </c>
      <c r="K40" s="681">
        <f>tertiair!J20</f>
        <v>4.9260434303590121E-3</v>
      </c>
      <c r="L40" s="681">
        <f>tertiair!K20</f>
        <v>0</v>
      </c>
      <c r="M40" s="681">
        <f ca="1">tertiair!L20</f>
        <v>0</v>
      </c>
      <c r="N40" s="681">
        <f>tertiair!M20</f>
        <v>0</v>
      </c>
      <c r="O40" s="681">
        <f ca="1">tertiair!N20</f>
        <v>0</v>
      </c>
      <c r="P40" s="681">
        <f>tertiair!O20</f>
        <v>0</v>
      </c>
      <c r="Q40" s="764">
        <f>tertiair!P20</f>
        <v>0</v>
      </c>
      <c r="R40" s="843">
        <f t="shared" ca="1" si="4"/>
        <v>3301.9276039487431</v>
      </c>
    </row>
    <row r="41" spans="1:18">
      <c r="A41" s="815" t="s">
        <v>219</v>
      </c>
      <c r="B41" s="822"/>
      <c r="C41" s="681">
        <f ca="1">huishoudens!B12</f>
        <v>3898.6721091371619</v>
      </c>
      <c r="D41" s="681">
        <f ca="1">huishoudens!C12</f>
        <v>0</v>
      </c>
      <c r="E41" s="681">
        <f>huishoudens!D12</f>
        <v>7118.2046365694014</v>
      </c>
      <c r="F41" s="681">
        <f>huishoudens!E12</f>
        <v>486.43625909549974</v>
      </c>
      <c r="G41" s="681">
        <f>huishoudens!F12</f>
        <v>9223.8511870477996</v>
      </c>
      <c r="H41" s="681">
        <f>huishoudens!G12</f>
        <v>0</v>
      </c>
      <c r="I41" s="681">
        <f>huishoudens!H12</f>
        <v>0</v>
      </c>
      <c r="J41" s="681">
        <f>huishoudens!I12</f>
        <v>0</v>
      </c>
      <c r="K41" s="681">
        <f>huishoudens!J12</f>
        <v>48.855816875274193</v>
      </c>
      <c r="L41" s="681">
        <f>huishoudens!K12</f>
        <v>0</v>
      </c>
      <c r="M41" s="681">
        <f>huishoudens!L12</f>
        <v>0</v>
      </c>
      <c r="N41" s="681">
        <f>huishoudens!M12</f>
        <v>0</v>
      </c>
      <c r="O41" s="681">
        <f>huishoudens!N12</f>
        <v>0</v>
      </c>
      <c r="P41" s="681">
        <f>huishoudens!O12</f>
        <v>0</v>
      </c>
      <c r="Q41" s="764">
        <f>huishoudens!P12</f>
        <v>0</v>
      </c>
      <c r="R41" s="843">
        <f t="shared" ca="1" si="4"/>
        <v>20776.020008725136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629.35690278965899</v>
      </c>
      <c r="D43" s="681">
        <f ca="1">industrie!C22</f>
        <v>0</v>
      </c>
      <c r="E43" s="681">
        <f>industrie!D22</f>
        <v>513.63956355562402</v>
      </c>
      <c r="F43" s="681">
        <f>industrie!E22</f>
        <v>86.013783070913718</v>
      </c>
      <c r="G43" s="681">
        <f>industrie!F22</f>
        <v>339.2393092584644</v>
      </c>
      <c r="H43" s="681">
        <f>industrie!G22</f>
        <v>0</v>
      </c>
      <c r="I43" s="681">
        <f>industrie!H22</f>
        <v>0</v>
      </c>
      <c r="J43" s="681">
        <f>industrie!I22</f>
        <v>0</v>
      </c>
      <c r="K43" s="681">
        <f>industrie!J22</f>
        <v>2.0680925541816912</v>
      </c>
      <c r="L43" s="681">
        <f>industrie!K22</f>
        <v>0</v>
      </c>
      <c r="M43" s="681">
        <f>industrie!L22</f>
        <v>0</v>
      </c>
      <c r="N43" s="681">
        <f>industrie!M22</f>
        <v>0</v>
      </c>
      <c r="O43" s="681">
        <f>industrie!N22</f>
        <v>0</v>
      </c>
      <c r="P43" s="681">
        <f>industrie!O22</f>
        <v>0</v>
      </c>
      <c r="Q43" s="764">
        <f>industrie!P22</f>
        <v>0</v>
      </c>
      <c r="R43" s="842">
        <f t="shared" ca="1" si="4"/>
        <v>1570.3176512288426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6092.6632614416922</v>
      </c>
      <c r="D46" s="717">
        <f t="shared" ref="D46:Q46" ca="1" si="5">SUM(D39:D45)</f>
        <v>30.554621848739504</v>
      </c>
      <c r="E46" s="717">
        <f t="shared" ca="1" si="5"/>
        <v>9083.4550643507682</v>
      </c>
      <c r="F46" s="717">
        <f t="shared" si="5"/>
        <v>598.05537598995522</v>
      </c>
      <c r="G46" s="717">
        <f t="shared" ca="1" si="5"/>
        <v>9792.6081047986809</v>
      </c>
      <c r="H46" s="717">
        <f t="shared" si="5"/>
        <v>0</v>
      </c>
      <c r="I46" s="717">
        <f t="shared" si="5"/>
        <v>0</v>
      </c>
      <c r="J46" s="717">
        <f t="shared" si="5"/>
        <v>0</v>
      </c>
      <c r="K46" s="717">
        <f t="shared" si="5"/>
        <v>50.928835472886242</v>
      </c>
      <c r="L46" s="717">
        <f t="shared" si="5"/>
        <v>0</v>
      </c>
      <c r="M46" s="717">
        <f t="shared" ca="1" si="5"/>
        <v>0</v>
      </c>
      <c r="N46" s="717">
        <f t="shared" si="5"/>
        <v>0</v>
      </c>
      <c r="O46" s="717">
        <f t="shared" ca="1" si="5"/>
        <v>0</v>
      </c>
      <c r="P46" s="717">
        <f t="shared" si="5"/>
        <v>0</v>
      </c>
      <c r="Q46" s="717">
        <f t="shared" si="5"/>
        <v>0</v>
      </c>
      <c r="R46" s="717">
        <f ca="1">SUM(R39:R45)</f>
        <v>25648.265263902722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4.7489758693179773</v>
      </c>
      <c r="D49" s="681">
        <f ca="1">transport!C58</f>
        <v>0</v>
      </c>
      <c r="E49" s="681">
        <f>transport!D58</f>
        <v>0</v>
      </c>
      <c r="F49" s="681">
        <f>transport!E58</f>
        <v>0</v>
      </c>
      <c r="G49" s="681">
        <f>transport!F58</f>
        <v>0</v>
      </c>
      <c r="H49" s="681">
        <f>transport!G58</f>
        <v>512.93992322181089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517.68889909112886</v>
      </c>
    </row>
    <row r="50" spans="1:18">
      <c r="A50" s="818" t="s">
        <v>301</v>
      </c>
      <c r="B50" s="828"/>
      <c r="C50" s="687">
        <f ca="1">transport!B18</f>
        <v>22.099514961350021</v>
      </c>
      <c r="D50" s="687">
        <f>transport!C18</f>
        <v>0</v>
      </c>
      <c r="E50" s="687">
        <f>transport!D18</f>
        <v>42.846999226918768</v>
      </c>
      <c r="F50" s="687">
        <f>transport!E18</f>
        <v>41.989802880574828</v>
      </c>
      <c r="G50" s="687">
        <f>transport!F18</f>
        <v>0</v>
      </c>
      <c r="H50" s="687">
        <f>transport!G18</f>
        <v>23984.226200527035</v>
      </c>
      <c r="I50" s="687">
        <f>transport!H18</f>
        <v>4703.5445719505606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28794.707089546442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26.848490830667998</v>
      </c>
      <c r="D52" s="717">
        <f t="shared" ref="D52:Q52" ca="1" si="6">SUM(D48:D51)</f>
        <v>0</v>
      </c>
      <c r="E52" s="717">
        <f t="shared" si="6"/>
        <v>42.846999226918768</v>
      </c>
      <c r="F52" s="717">
        <f t="shared" si="6"/>
        <v>41.989802880574828</v>
      </c>
      <c r="G52" s="717">
        <f t="shared" si="6"/>
        <v>0</v>
      </c>
      <c r="H52" s="717">
        <f t="shared" si="6"/>
        <v>24497.166123748844</v>
      </c>
      <c r="I52" s="717">
        <f t="shared" si="6"/>
        <v>4703.5445719505606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29312.395988637571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111.1141911217787</v>
      </c>
      <c r="D54" s="687">
        <f ca="1">+landbouw!C12</f>
        <v>0</v>
      </c>
      <c r="E54" s="687">
        <f>+landbouw!D12</f>
        <v>8.6703595440000019</v>
      </c>
      <c r="F54" s="687">
        <f>+landbouw!E12</f>
        <v>4.3953395044925561</v>
      </c>
      <c r="G54" s="687">
        <f>+landbouw!F12</f>
        <v>585.4216899181182</v>
      </c>
      <c r="H54" s="687">
        <f>+landbouw!G12</f>
        <v>0</v>
      </c>
      <c r="I54" s="687">
        <f>+landbouw!H12</f>
        <v>0</v>
      </c>
      <c r="J54" s="687">
        <f>+landbouw!I12</f>
        <v>0</v>
      </c>
      <c r="K54" s="687">
        <f>+landbouw!J12</f>
        <v>60.508054098087726</v>
      </c>
      <c r="L54" s="687">
        <f>+landbouw!K12</f>
        <v>0</v>
      </c>
      <c r="M54" s="687">
        <f>+landbouw!L12</f>
        <v>0</v>
      </c>
      <c r="N54" s="687">
        <f>+landbouw!M12</f>
        <v>0</v>
      </c>
      <c r="O54" s="687">
        <f>+landbouw!N12</f>
        <v>0</v>
      </c>
      <c r="P54" s="687">
        <f>+landbouw!O12</f>
        <v>0</v>
      </c>
      <c r="Q54" s="688">
        <f>+landbouw!P12</f>
        <v>0</v>
      </c>
      <c r="R54" s="716">
        <f ca="1">SUM(C54:Q54)</f>
        <v>770.10963418647725</v>
      </c>
    </row>
    <row r="55" spans="1:18" ht="15" thickBot="1">
      <c r="A55" s="818" t="s">
        <v>714</v>
      </c>
      <c r="B55" s="828"/>
      <c r="C55" s="687">
        <f ca="1">C25*'EF ele_warmte'!B12</f>
        <v>48.353052234137735</v>
      </c>
      <c r="D55" s="687"/>
      <c r="E55" s="687">
        <f>E25*EF_CO2_aardgas</f>
        <v>86.127063200000009</v>
      </c>
      <c r="F55" s="687"/>
      <c r="G55" s="687"/>
      <c r="H55" s="687"/>
      <c r="I55" s="687"/>
      <c r="J55" s="687"/>
      <c r="K55" s="687"/>
      <c r="L55" s="687"/>
      <c r="M55" s="687"/>
      <c r="N55" s="687"/>
      <c r="O55" s="687"/>
      <c r="P55" s="687"/>
      <c r="Q55" s="688"/>
      <c r="R55" s="716">
        <f ca="1">SUM(C55:Q55)</f>
        <v>134.48011543413776</v>
      </c>
    </row>
    <row r="56" spans="1:18" ht="15.75" thickBot="1">
      <c r="A56" s="816" t="s">
        <v>715</v>
      </c>
      <c r="B56" s="829"/>
      <c r="C56" s="717">
        <f ca="1">SUM(C54:C55)</f>
        <v>159.46724335591642</v>
      </c>
      <c r="D56" s="717">
        <f t="shared" ref="D56:Q56" ca="1" si="7">SUM(D54:D55)</f>
        <v>0</v>
      </c>
      <c r="E56" s="717">
        <f t="shared" si="7"/>
        <v>94.797422744000016</v>
      </c>
      <c r="F56" s="717">
        <f t="shared" si="7"/>
        <v>4.3953395044925561</v>
      </c>
      <c r="G56" s="717">
        <f t="shared" si="7"/>
        <v>585.4216899181182</v>
      </c>
      <c r="H56" s="717">
        <f t="shared" si="7"/>
        <v>0</v>
      </c>
      <c r="I56" s="717">
        <f t="shared" si="7"/>
        <v>0</v>
      </c>
      <c r="J56" s="717">
        <f t="shared" si="7"/>
        <v>0</v>
      </c>
      <c r="K56" s="717">
        <f t="shared" si="7"/>
        <v>60.508054098087726</v>
      </c>
      <c r="L56" s="717">
        <f t="shared" si="7"/>
        <v>0</v>
      </c>
      <c r="M56" s="717">
        <f t="shared" si="7"/>
        <v>0</v>
      </c>
      <c r="N56" s="717">
        <f t="shared" si="7"/>
        <v>0</v>
      </c>
      <c r="O56" s="717">
        <f t="shared" si="7"/>
        <v>0</v>
      </c>
      <c r="P56" s="717">
        <f t="shared" si="7"/>
        <v>0</v>
      </c>
      <c r="Q56" s="718">
        <f t="shared" si="7"/>
        <v>0</v>
      </c>
      <c r="R56" s="719">
        <f ca="1">SUM(R54:R55)</f>
        <v>904.58974962061507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6278.9789956282766</v>
      </c>
      <c r="D61" s="725">
        <f t="shared" ref="D61:Q61" ca="1" si="8">D46+D52+D56</f>
        <v>30.554621848739504</v>
      </c>
      <c r="E61" s="725">
        <f t="shared" ca="1" si="8"/>
        <v>9221.0994863216874</v>
      </c>
      <c r="F61" s="725">
        <f t="shared" si="8"/>
        <v>644.44051837502263</v>
      </c>
      <c r="G61" s="725">
        <f t="shared" ca="1" si="8"/>
        <v>10378.029794716798</v>
      </c>
      <c r="H61" s="725">
        <f t="shared" si="8"/>
        <v>24497.166123748844</v>
      </c>
      <c r="I61" s="725">
        <f t="shared" si="8"/>
        <v>4703.5445719505606</v>
      </c>
      <c r="J61" s="725">
        <f t="shared" si="8"/>
        <v>0</v>
      </c>
      <c r="K61" s="725">
        <f t="shared" si="8"/>
        <v>111.43688957097396</v>
      </c>
      <c r="L61" s="725">
        <f t="shared" si="8"/>
        <v>0</v>
      </c>
      <c r="M61" s="725">
        <f t="shared" ca="1" si="8"/>
        <v>0</v>
      </c>
      <c r="N61" s="725">
        <f t="shared" si="8"/>
        <v>0</v>
      </c>
      <c r="O61" s="725">
        <f t="shared" ca="1" si="8"/>
        <v>0</v>
      </c>
      <c r="P61" s="725">
        <f t="shared" si="8"/>
        <v>0</v>
      </c>
      <c r="Q61" s="725">
        <f t="shared" si="8"/>
        <v>0</v>
      </c>
      <c r="R61" s="725">
        <f ca="1">R46+R52+R56</f>
        <v>55865.251002160905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0.17909857887354566</v>
      </c>
      <c r="D63" s="771">
        <f t="shared" ca="1" si="9"/>
        <v>0.23764705882352946</v>
      </c>
      <c r="E63" s="969">
        <f t="shared" ca="1" si="9"/>
        <v>0.20200000000000001</v>
      </c>
      <c r="F63" s="771">
        <f t="shared" si="9"/>
        <v>0.22700000000000001</v>
      </c>
      <c r="G63" s="771">
        <f t="shared" ca="1" si="9"/>
        <v>0.26699999999999996</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6653.8970552716873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90</v>
      </c>
      <c r="D76" s="952">
        <f>'lokale energieproductie'!C8</f>
        <v>105.88235294117648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21.388235294117649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6653.8970552716873</v>
      </c>
      <c r="C78" s="743">
        <f>SUM(C72:C77)</f>
        <v>90</v>
      </c>
      <c r="D78" s="744">
        <f t="shared" ref="D78:H78" si="10">SUM(D76:D77)</f>
        <v>105.88235294117648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21.388235294117649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128.57142857142858</v>
      </c>
      <c r="D87" s="767">
        <f>'lokale energieproductie'!C17</f>
        <v>151.2605042016807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30.554621848739504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128.57142857142858</v>
      </c>
      <c r="D90" s="743">
        <f t="shared" ref="D90:H90" si="12">SUM(D87:D89)</f>
        <v>151.2605042016807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21768.302873524524</v>
      </c>
      <c r="C4" s="448">
        <f>huishoudens!C8</f>
        <v>0</v>
      </c>
      <c r="D4" s="448">
        <f>huishoudens!D8</f>
        <v>35238.636814700003</v>
      </c>
      <c r="E4" s="448">
        <f>huishoudens!E8</f>
        <v>2142.8910092312763</v>
      </c>
      <c r="F4" s="448">
        <f>huishoudens!F8</f>
        <v>34546.25912751985</v>
      </c>
      <c r="G4" s="448">
        <f>huishoudens!G8</f>
        <v>0</v>
      </c>
      <c r="H4" s="448">
        <f>huishoudens!H8</f>
        <v>0</v>
      </c>
      <c r="I4" s="448">
        <f>huishoudens!I8</f>
        <v>0</v>
      </c>
      <c r="J4" s="448">
        <f>huishoudens!J8</f>
        <v>138.01078213354293</v>
      </c>
      <c r="K4" s="448">
        <f>huishoudens!K8</f>
        <v>0</v>
      </c>
      <c r="L4" s="448">
        <f>huishoudens!L8</f>
        <v>0</v>
      </c>
      <c r="M4" s="448">
        <f>huishoudens!M8</f>
        <v>0</v>
      </c>
      <c r="N4" s="448">
        <f>huishoudens!N8</f>
        <v>7086.9702329395968</v>
      </c>
      <c r="O4" s="448">
        <f>huishoudens!O8</f>
        <v>527.73288635695042</v>
      </c>
      <c r="P4" s="449">
        <f>huishoudens!P8</f>
        <v>905.92050046091197</v>
      </c>
      <c r="Q4" s="450">
        <f>SUM(B4:P4)</f>
        <v>102354.72422686666</v>
      </c>
    </row>
    <row r="5" spans="1:17">
      <c r="A5" s="447" t="s">
        <v>155</v>
      </c>
      <c r="B5" s="448">
        <f ca="1">tertiair!B16</f>
        <v>7760.9362819999997</v>
      </c>
      <c r="C5" s="448">
        <f ca="1">tertiair!C16</f>
        <v>128.57142857142858</v>
      </c>
      <c r="D5" s="448">
        <f ca="1">tertiair!D16</f>
        <v>7186.1923971571441</v>
      </c>
      <c r="E5" s="448">
        <f>tertiair!E16</f>
        <v>112.7988274164836</v>
      </c>
      <c r="F5" s="448">
        <f ca="1">tertiair!F16</f>
        <v>859.61651120755459</v>
      </c>
      <c r="G5" s="448">
        <f>tertiair!G16</f>
        <v>0</v>
      </c>
      <c r="H5" s="448">
        <f>tertiair!H16</f>
        <v>0</v>
      </c>
      <c r="I5" s="448">
        <f>tertiair!I16</f>
        <v>0</v>
      </c>
      <c r="J5" s="448">
        <f>tertiair!J16</f>
        <v>1.3915376921918115E-2</v>
      </c>
      <c r="K5" s="448">
        <f>tertiair!K16</f>
        <v>0</v>
      </c>
      <c r="L5" s="448">
        <f ca="1">tertiair!L16</f>
        <v>0</v>
      </c>
      <c r="M5" s="448">
        <f>tertiair!M16</f>
        <v>0</v>
      </c>
      <c r="N5" s="448">
        <f ca="1">tertiair!N16</f>
        <v>550.73975756504649</v>
      </c>
      <c r="O5" s="448">
        <f>tertiair!O16</f>
        <v>4.8972607658411542</v>
      </c>
      <c r="P5" s="449">
        <f>tertiair!P16</f>
        <v>0</v>
      </c>
      <c r="Q5" s="447">
        <f t="shared" ref="Q5:Q14" ca="1" si="0">SUM(B5:P5)</f>
        <v>16603.766380060417</v>
      </c>
    </row>
    <row r="6" spans="1:17">
      <c r="A6" s="447" t="s">
        <v>193</v>
      </c>
      <c r="B6" s="448">
        <f>'openbare verlichting'!B8</f>
        <v>975.226</v>
      </c>
      <c r="C6" s="448"/>
      <c r="D6" s="448"/>
      <c r="E6" s="448"/>
      <c r="F6" s="448"/>
      <c r="G6" s="448"/>
      <c r="H6" s="448"/>
      <c r="I6" s="448"/>
      <c r="J6" s="448"/>
      <c r="K6" s="448"/>
      <c r="L6" s="448"/>
      <c r="M6" s="448"/>
      <c r="N6" s="448"/>
      <c r="O6" s="448"/>
      <c r="P6" s="449"/>
      <c r="Q6" s="447">
        <f t="shared" si="0"/>
        <v>975.226</v>
      </c>
    </row>
    <row r="7" spans="1:17">
      <c r="A7" s="447" t="s">
        <v>111</v>
      </c>
      <c r="B7" s="448">
        <f>landbouw!B8</f>
        <v>620.40800000000002</v>
      </c>
      <c r="C7" s="448">
        <f>landbouw!C8</f>
        <v>0</v>
      </c>
      <c r="D7" s="448">
        <f>landbouw!D8</f>
        <v>42.922572000000002</v>
      </c>
      <c r="E7" s="448">
        <f>landbouw!E8</f>
        <v>19.362729094680862</v>
      </c>
      <c r="F7" s="448">
        <f>landbouw!F8</f>
        <v>2192.5905989442626</v>
      </c>
      <c r="G7" s="448">
        <f>landbouw!G8</f>
        <v>0</v>
      </c>
      <c r="H7" s="448">
        <f>landbouw!H8</f>
        <v>0</v>
      </c>
      <c r="I7" s="448">
        <f>landbouw!I8</f>
        <v>0</v>
      </c>
      <c r="J7" s="448">
        <f>landbouw!J8</f>
        <v>170.92670649177325</v>
      </c>
      <c r="K7" s="448">
        <f>landbouw!K8</f>
        <v>0</v>
      </c>
      <c r="L7" s="448">
        <f>landbouw!L8</f>
        <v>0</v>
      </c>
      <c r="M7" s="448">
        <f>landbouw!M8</f>
        <v>0</v>
      </c>
      <c r="N7" s="448">
        <f>landbouw!N8</f>
        <v>0</v>
      </c>
      <c r="O7" s="448">
        <f>landbouw!O8</f>
        <v>0</v>
      </c>
      <c r="P7" s="449">
        <f>landbouw!P8</f>
        <v>0</v>
      </c>
      <c r="Q7" s="447">
        <f t="shared" si="0"/>
        <v>3046.2106065307166</v>
      </c>
    </row>
    <row r="8" spans="1:17">
      <c r="A8" s="447" t="s">
        <v>618</v>
      </c>
      <c r="B8" s="448">
        <f>industrie!B18</f>
        <v>3514.0251069999995</v>
      </c>
      <c r="C8" s="448">
        <f>industrie!C18</f>
        <v>0</v>
      </c>
      <c r="D8" s="448">
        <f>industrie!D18</f>
        <v>2542.770116612</v>
      </c>
      <c r="E8" s="448">
        <f>industrie!E18</f>
        <v>378.91534392473005</v>
      </c>
      <c r="F8" s="448">
        <f>industrie!F18</f>
        <v>1270.5592107058592</v>
      </c>
      <c r="G8" s="448">
        <f>industrie!G18</f>
        <v>0</v>
      </c>
      <c r="H8" s="448">
        <f>industrie!H18</f>
        <v>0</v>
      </c>
      <c r="I8" s="448">
        <f>industrie!I18</f>
        <v>0</v>
      </c>
      <c r="J8" s="448">
        <f>industrie!J18</f>
        <v>5.8420693620951729</v>
      </c>
      <c r="K8" s="448">
        <f>industrie!K18</f>
        <v>0</v>
      </c>
      <c r="L8" s="448">
        <f>industrie!L18</f>
        <v>0</v>
      </c>
      <c r="M8" s="448">
        <f>industrie!M18</f>
        <v>0</v>
      </c>
      <c r="N8" s="448">
        <f>industrie!N18</f>
        <v>150.11741512056068</v>
      </c>
      <c r="O8" s="448">
        <f>industrie!O18</f>
        <v>0</v>
      </c>
      <c r="P8" s="449">
        <f>industrie!P18</f>
        <v>0</v>
      </c>
      <c r="Q8" s="447">
        <f t="shared" si="0"/>
        <v>7862.2292627252455</v>
      </c>
    </row>
    <row r="9" spans="1:17" s="453" customFormat="1">
      <c r="A9" s="451" t="s">
        <v>544</v>
      </c>
      <c r="B9" s="452">
        <f>transport!B14</f>
        <v>123.3930224368425</v>
      </c>
      <c r="C9" s="452">
        <f>transport!C14</f>
        <v>0</v>
      </c>
      <c r="D9" s="452">
        <f>transport!D14</f>
        <v>212.1138575590038</v>
      </c>
      <c r="E9" s="452">
        <f>transport!E14</f>
        <v>184.97710520077015</v>
      </c>
      <c r="F9" s="452">
        <f>transport!F14</f>
        <v>0</v>
      </c>
      <c r="G9" s="452">
        <f>transport!G14</f>
        <v>89828.562548790389</v>
      </c>
      <c r="H9" s="452">
        <f>transport!H14</f>
        <v>18889.737236749239</v>
      </c>
      <c r="I9" s="452">
        <f>transport!I14</f>
        <v>0</v>
      </c>
      <c r="J9" s="452">
        <f>transport!J14</f>
        <v>0</v>
      </c>
      <c r="K9" s="452">
        <f>transport!K14</f>
        <v>0</v>
      </c>
      <c r="L9" s="452">
        <f>transport!L14</f>
        <v>0</v>
      </c>
      <c r="M9" s="452">
        <f>transport!M14</f>
        <v>6428.5720071005244</v>
      </c>
      <c r="N9" s="452">
        <f>transport!N14</f>
        <v>0</v>
      </c>
      <c r="O9" s="452">
        <f>transport!O14</f>
        <v>0</v>
      </c>
      <c r="P9" s="452">
        <f>transport!P14</f>
        <v>0</v>
      </c>
      <c r="Q9" s="451">
        <f>SUM(B9:P9)</f>
        <v>115667.35577783675</v>
      </c>
    </row>
    <row r="10" spans="1:17">
      <c r="A10" s="447" t="s">
        <v>534</v>
      </c>
      <c r="B10" s="448">
        <f>transport!B54</f>
        <v>26.515988564437688</v>
      </c>
      <c r="C10" s="448">
        <f>transport!C54</f>
        <v>0</v>
      </c>
      <c r="D10" s="448">
        <f>transport!D54</f>
        <v>0</v>
      </c>
      <c r="E10" s="448">
        <f>transport!E54</f>
        <v>0</v>
      </c>
      <c r="F10" s="448">
        <f>transport!F54</f>
        <v>0</v>
      </c>
      <c r="G10" s="448">
        <f>transport!G54</f>
        <v>1921.123307946857</v>
      </c>
      <c r="H10" s="448">
        <f>transport!H54</f>
        <v>0</v>
      </c>
      <c r="I10" s="448">
        <f>transport!I54</f>
        <v>0</v>
      </c>
      <c r="J10" s="448">
        <f>transport!J54</f>
        <v>0</v>
      </c>
      <c r="K10" s="448">
        <f>transport!K54</f>
        <v>0</v>
      </c>
      <c r="L10" s="448">
        <f>transport!L54</f>
        <v>0</v>
      </c>
      <c r="M10" s="448">
        <f>transport!M54</f>
        <v>108.66445540469725</v>
      </c>
      <c r="N10" s="448">
        <f>transport!N54</f>
        <v>0</v>
      </c>
      <c r="O10" s="448">
        <f>transport!O54</f>
        <v>0</v>
      </c>
      <c r="P10" s="449">
        <f>transport!P54</f>
        <v>0</v>
      </c>
      <c r="Q10" s="447">
        <f t="shared" si="0"/>
        <v>2056.3037519159921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269.98009999999999</v>
      </c>
      <c r="C14" s="455"/>
      <c r="D14" s="455">
        <f>'SEAP template'!E25</f>
        <v>426.3716</v>
      </c>
      <c r="E14" s="455"/>
      <c r="F14" s="455"/>
      <c r="G14" s="455"/>
      <c r="H14" s="455"/>
      <c r="I14" s="455"/>
      <c r="J14" s="455"/>
      <c r="K14" s="455"/>
      <c r="L14" s="455"/>
      <c r="M14" s="455"/>
      <c r="N14" s="455"/>
      <c r="O14" s="455"/>
      <c r="P14" s="456"/>
      <c r="Q14" s="447">
        <f t="shared" si="0"/>
        <v>696.35169999999994</v>
      </c>
    </row>
    <row r="15" spans="1:17" s="459" customFormat="1">
      <c r="A15" s="457" t="s">
        <v>538</v>
      </c>
      <c r="B15" s="458">
        <f ca="1">SUM(B4:B14)</f>
        <v>35058.787373525804</v>
      </c>
      <c r="C15" s="458">
        <f t="shared" ref="C15:Q15" ca="1" si="1">SUM(C4:C14)</f>
        <v>128.57142857142858</v>
      </c>
      <c r="D15" s="458">
        <f t="shared" ca="1" si="1"/>
        <v>45649.007358028153</v>
      </c>
      <c r="E15" s="458">
        <f t="shared" si="1"/>
        <v>2838.9450148679412</v>
      </c>
      <c r="F15" s="458">
        <f t="shared" ca="1" si="1"/>
        <v>38869.025448377528</v>
      </c>
      <c r="G15" s="458">
        <f t="shared" si="1"/>
        <v>91749.68585673724</v>
      </c>
      <c r="H15" s="458">
        <f t="shared" si="1"/>
        <v>18889.737236749239</v>
      </c>
      <c r="I15" s="458">
        <f t="shared" si="1"/>
        <v>0</v>
      </c>
      <c r="J15" s="458">
        <f t="shared" si="1"/>
        <v>314.79347336433324</v>
      </c>
      <c r="K15" s="458">
        <f t="shared" si="1"/>
        <v>0</v>
      </c>
      <c r="L15" s="458">
        <f t="shared" ca="1" si="1"/>
        <v>0</v>
      </c>
      <c r="M15" s="458">
        <f t="shared" si="1"/>
        <v>6537.2364625052214</v>
      </c>
      <c r="N15" s="458">
        <f t="shared" ca="1" si="1"/>
        <v>7787.8274056252039</v>
      </c>
      <c r="O15" s="458">
        <f t="shared" si="1"/>
        <v>532.63014712279153</v>
      </c>
      <c r="P15" s="458">
        <f t="shared" si="1"/>
        <v>905.92050046091197</v>
      </c>
      <c r="Q15" s="458">
        <f t="shared" ca="1" si="1"/>
        <v>249262.16770593578</v>
      </c>
    </row>
    <row r="17" spans="1:17">
      <c r="A17" s="460" t="s">
        <v>539</v>
      </c>
      <c r="B17" s="776">
        <f ca="1">huishoudens!B10</f>
        <v>0.17909857887354563</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3898.6721091371619</v>
      </c>
      <c r="C22" s="448">
        <f t="shared" ref="C22:C32" ca="1" si="3">C4*$C$17</f>
        <v>0</v>
      </c>
      <c r="D22" s="448">
        <f t="shared" ref="D22:D32" si="4">D4*$D$17</f>
        <v>7118.2046365694014</v>
      </c>
      <c r="E22" s="448">
        <f t="shared" ref="E22:E32" si="5">E4*$E$17</f>
        <v>486.43625909549974</v>
      </c>
      <c r="F22" s="448">
        <f t="shared" ref="F22:F32" si="6">F4*$F$17</f>
        <v>9223.8511870477996</v>
      </c>
      <c r="G22" s="448">
        <f t="shared" ref="G22:G32" si="7">G4*$G$17</f>
        <v>0</v>
      </c>
      <c r="H22" s="448">
        <f t="shared" ref="H22:H32" si="8">H4*$H$17</f>
        <v>0</v>
      </c>
      <c r="I22" s="448">
        <f t="shared" ref="I22:I32" si="9">I4*$I$17</f>
        <v>0</v>
      </c>
      <c r="J22" s="448">
        <f t="shared" ref="J22:J32" si="10">J4*$J$17</f>
        <v>48.855816875274193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20776.020008725136</v>
      </c>
    </row>
    <row r="23" spans="1:17">
      <c r="A23" s="447" t="s">
        <v>155</v>
      </c>
      <c r="B23" s="448">
        <f t="shared" ca="1" si="2"/>
        <v>1389.972658834339</v>
      </c>
      <c r="C23" s="448">
        <f t="shared" ca="1" si="3"/>
        <v>30.554621848739504</v>
      </c>
      <c r="D23" s="448">
        <f t="shared" ca="1" si="4"/>
        <v>1451.6108642257432</v>
      </c>
      <c r="E23" s="448">
        <f t="shared" si="5"/>
        <v>25.60533382354178</v>
      </c>
      <c r="F23" s="448">
        <f t="shared" ca="1" si="6"/>
        <v>229.51760849241708</v>
      </c>
      <c r="G23" s="448">
        <f t="shared" si="7"/>
        <v>0</v>
      </c>
      <c r="H23" s="448">
        <f t="shared" si="8"/>
        <v>0</v>
      </c>
      <c r="I23" s="448">
        <f t="shared" si="9"/>
        <v>0</v>
      </c>
      <c r="J23" s="448">
        <f t="shared" si="10"/>
        <v>4.9260434303590121E-3</v>
      </c>
      <c r="K23" s="448">
        <f t="shared" si="11"/>
        <v>0</v>
      </c>
      <c r="L23" s="448">
        <f t="shared" ca="1" si="12"/>
        <v>0</v>
      </c>
      <c r="M23" s="448">
        <f t="shared" si="13"/>
        <v>0</v>
      </c>
      <c r="N23" s="448">
        <f t="shared" ca="1" si="14"/>
        <v>0</v>
      </c>
      <c r="O23" s="448">
        <f t="shared" si="15"/>
        <v>0</v>
      </c>
      <c r="P23" s="449">
        <f t="shared" si="16"/>
        <v>0</v>
      </c>
      <c r="Q23" s="447">
        <f t="shared" ref="Q23:Q31" ca="1" si="17">SUM(B23:P23)</f>
        <v>3127.2660132682108</v>
      </c>
    </row>
    <row r="24" spans="1:17">
      <c r="A24" s="447" t="s">
        <v>193</v>
      </c>
      <c r="B24" s="448">
        <f t="shared" ca="1" si="2"/>
        <v>174.66159068053241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174.66159068053241</v>
      </c>
    </row>
    <row r="25" spans="1:17">
      <c r="A25" s="447" t="s">
        <v>111</v>
      </c>
      <c r="B25" s="448">
        <f t="shared" ca="1" si="2"/>
        <v>111.1141911217787</v>
      </c>
      <c r="C25" s="448">
        <f t="shared" ca="1" si="3"/>
        <v>0</v>
      </c>
      <c r="D25" s="448">
        <f t="shared" si="4"/>
        <v>8.6703595440000019</v>
      </c>
      <c r="E25" s="448">
        <f t="shared" si="5"/>
        <v>4.3953395044925561</v>
      </c>
      <c r="F25" s="448">
        <f t="shared" si="6"/>
        <v>585.4216899181182</v>
      </c>
      <c r="G25" s="448">
        <f t="shared" si="7"/>
        <v>0</v>
      </c>
      <c r="H25" s="448">
        <f t="shared" si="8"/>
        <v>0</v>
      </c>
      <c r="I25" s="448">
        <f t="shared" si="9"/>
        <v>0</v>
      </c>
      <c r="J25" s="448">
        <f t="shared" si="10"/>
        <v>60.508054098087726</v>
      </c>
      <c r="K25" s="448">
        <f t="shared" si="11"/>
        <v>0</v>
      </c>
      <c r="L25" s="448">
        <f t="shared" si="12"/>
        <v>0</v>
      </c>
      <c r="M25" s="448">
        <f t="shared" si="13"/>
        <v>0</v>
      </c>
      <c r="N25" s="448">
        <f t="shared" si="14"/>
        <v>0</v>
      </c>
      <c r="O25" s="448">
        <f t="shared" si="15"/>
        <v>0</v>
      </c>
      <c r="P25" s="449">
        <f t="shared" si="16"/>
        <v>0</v>
      </c>
      <c r="Q25" s="447">
        <f t="shared" ca="1" si="17"/>
        <v>770.10963418647725</v>
      </c>
    </row>
    <row r="26" spans="1:17">
      <c r="A26" s="447" t="s">
        <v>618</v>
      </c>
      <c r="B26" s="448">
        <f t="shared" ca="1" si="2"/>
        <v>629.35690278965899</v>
      </c>
      <c r="C26" s="448">
        <f t="shared" ca="1" si="3"/>
        <v>0</v>
      </c>
      <c r="D26" s="448">
        <f t="shared" si="4"/>
        <v>513.63956355562402</v>
      </c>
      <c r="E26" s="448">
        <f t="shared" si="5"/>
        <v>86.013783070913718</v>
      </c>
      <c r="F26" s="448">
        <f t="shared" si="6"/>
        <v>339.2393092584644</v>
      </c>
      <c r="G26" s="448">
        <f t="shared" si="7"/>
        <v>0</v>
      </c>
      <c r="H26" s="448">
        <f t="shared" si="8"/>
        <v>0</v>
      </c>
      <c r="I26" s="448">
        <f t="shared" si="9"/>
        <v>0</v>
      </c>
      <c r="J26" s="448">
        <f t="shared" si="10"/>
        <v>2.0680925541816912</v>
      </c>
      <c r="K26" s="448">
        <f t="shared" si="11"/>
        <v>0</v>
      </c>
      <c r="L26" s="448">
        <f t="shared" si="12"/>
        <v>0</v>
      </c>
      <c r="M26" s="448">
        <f t="shared" si="13"/>
        <v>0</v>
      </c>
      <c r="N26" s="448">
        <f t="shared" si="14"/>
        <v>0</v>
      </c>
      <c r="O26" s="448">
        <f t="shared" si="15"/>
        <v>0</v>
      </c>
      <c r="P26" s="449">
        <f t="shared" si="16"/>
        <v>0</v>
      </c>
      <c r="Q26" s="447">
        <f t="shared" ca="1" si="17"/>
        <v>1570.3176512288426</v>
      </c>
    </row>
    <row r="27" spans="1:17" s="453" customFormat="1">
      <c r="A27" s="451" t="s">
        <v>544</v>
      </c>
      <c r="B27" s="770">
        <f t="shared" ca="1" si="2"/>
        <v>22.099514961350021</v>
      </c>
      <c r="C27" s="452">
        <f t="shared" ca="1" si="3"/>
        <v>0</v>
      </c>
      <c r="D27" s="452">
        <f t="shared" si="4"/>
        <v>42.846999226918768</v>
      </c>
      <c r="E27" s="452">
        <f t="shared" si="5"/>
        <v>41.989802880574828</v>
      </c>
      <c r="F27" s="452">
        <f t="shared" si="6"/>
        <v>0</v>
      </c>
      <c r="G27" s="452">
        <f t="shared" si="7"/>
        <v>23984.226200527035</v>
      </c>
      <c r="H27" s="452">
        <f t="shared" si="8"/>
        <v>4703.5445719505606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28794.707089546442</v>
      </c>
    </row>
    <row r="28" spans="1:17" ht="16.5" customHeight="1">
      <c r="A28" s="447" t="s">
        <v>534</v>
      </c>
      <c r="B28" s="448">
        <f t="shared" ca="1" si="2"/>
        <v>4.7489758693179773</v>
      </c>
      <c r="C28" s="448">
        <f t="shared" ca="1" si="3"/>
        <v>0</v>
      </c>
      <c r="D28" s="448">
        <f t="shared" si="4"/>
        <v>0</v>
      </c>
      <c r="E28" s="448">
        <f t="shared" si="5"/>
        <v>0</v>
      </c>
      <c r="F28" s="448">
        <f t="shared" si="6"/>
        <v>0</v>
      </c>
      <c r="G28" s="448">
        <f t="shared" si="7"/>
        <v>512.93992322181089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517.68889909112886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48.353052234137735</v>
      </c>
      <c r="C32" s="448">
        <f t="shared" ca="1" si="3"/>
        <v>0</v>
      </c>
      <c r="D32" s="448">
        <f t="shared" si="4"/>
        <v>86.127063200000009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134.48011543413776</v>
      </c>
    </row>
    <row r="33" spans="1:17" s="459" customFormat="1">
      <c r="A33" s="457" t="s">
        <v>538</v>
      </c>
      <c r="B33" s="458">
        <f ca="1">SUM(B22:B32)</f>
        <v>6278.9789956282775</v>
      </c>
      <c r="C33" s="458">
        <f t="shared" ref="C33:Q33" ca="1" si="19">SUM(C22:C32)</f>
        <v>30.554621848739504</v>
      </c>
      <c r="D33" s="458">
        <f t="shared" ca="1" si="19"/>
        <v>9221.0994863216856</v>
      </c>
      <c r="E33" s="458">
        <f t="shared" si="19"/>
        <v>644.44051837502263</v>
      </c>
      <c r="F33" s="458">
        <f t="shared" ca="1" si="19"/>
        <v>10378.029794716798</v>
      </c>
      <c r="G33" s="458">
        <f t="shared" si="19"/>
        <v>24497.166123748844</v>
      </c>
      <c r="H33" s="458">
        <f t="shared" si="19"/>
        <v>4703.5445719505606</v>
      </c>
      <c r="I33" s="458">
        <f t="shared" si="19"/>
        <v>0</v>
      </c>
      <c r="J33" s="458">
        <f t="shared" si="19"/>
        <v>111.43688957097397</v>
      </c>
      <c r="K33" s="458">
        <f t="shared" si="19"/>
        <v>0</v>
      </c>
      <c r="L33" s="458">
        <f t="shared" ca="1" si="19"/>
        <v>0</v>
      </c>
      <c r="M33" s="458">
        <f t="shared" si="19"/>
        <v>0</v>
      </c>
      <c r="N33" s="458">
        <f t="shared" ca="1" si="19"/>
        <v>0</v>
      </c>
      <c r="O33" s="458">
        <f t="shared" si="19"/>
        <v>0</v>
      </c>
      <c r="P33" s="458">
        <f t="shared" si="19"/>
        <v>0</v>
      </c>
      <c r="Q33" s="458">
        <f t="shared" ca="1" si="19"/>
        <v>55865.251002160912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6653.8970552716873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90</v>
      </c>
      <c r="D8" s="1021">
        <f>'SEAP template'!D76</f>
        <v>105.88235294117648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21.388235294117649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6653.8970552716873</v>
      </c>
      <c r="C10" s="1023">
        <f>SUM(C4:C9)</f>
        <v>90</v>
      </c>
      <c r="D10" s="1023">
        <f t="shared" ref="D10:H10" si="0">SUM(D8:D9)</f>
        <v>105.88235294117648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21.388235294117649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0.17909857887354563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128.57142857142858</v>
      </c>
      <c r="D17" s="1022">
        <f>'SEAP template'!D87</f>
        <v>151.2605042016807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30.554621848739504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128.57142857142858</v>
      </c>
      <c r="D20" s="1023">
        <f t="shared" ref="D20:H20" si="2">SUM(D17:D19)</f>
        <v>151.2605042016807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30.554621848739504</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0.17909857887354563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0.17909857887354563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0.17909857887354563</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4952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1792.21</v>
      </c>
      <c r="C14" s="326"/>
      <c r="D14" s="326"/>
      <c r="E14" s="326"/>
      <c r="F14" s="326"/>
    </row>
    <row r="15" spans="1:6">
      <c r="A15" s="1298" t="s">
        <v>183</v>
      </c>
      <c r="B15" s="1299">
        <v>10</v>
      </c>
      <c r="C15" s="326"/>
      <c r="D15" s="326"/>
      <c r="E15" s="326"/>
      <c r="F15" s="326"/>
    </row>
    <row r="16" spans="1:6">
      <c r="A16" s="1298" t="s">
        <v>6</v>
      </c>
      <c r="B16" s="1299">
        <v>586</v>
      </c>
      <c r="C16" s="326"/>
      <c r="D16" s="326"/>
      <c r="E16" s="326"/>
      <c r="F16" s="326"/>
    </row>
    <row r="17" spans="1:6">
      <c r="A17" s="1298" t="s">
        <v>7</v>
      </c>
      <c r="B17" s="1299">
        <v>103</v>
      </c>
      <c r="C17" s="326"/>
      <c r="D17" s="326"/>
      <c r="E17" s="326"/>
      <c r="F17" s="326"/>
    </row>
    <row r="18" spans="1:6">
      <c r="A18" s="1298" t="s">
        <v>8</v>
      </c>
      <c r="B18" s="1299">
        <v>293</v>
      </c>
      <c r="C18" s="326"/>
      <c r="D18" s="326"/>
      <c r="E18" s="326"/>
      <c r="F18" s="326"/>
    </row>
    <row r="19" spans="1:6">
      <c r="A19" s="1298" t="s">
        <v>9</v>
      </c>
      <c r="B19" s="1299">
        <v>192</v>
      </c>
      <c r="C19" s="326"/>
      <c r="D19" s="326"/>
      <c r="E19" s="326"/>
      <c r="F19" s="326"/>
    </row>
    <row r="20" spans="1:6">
      <c r="A20" s="1298" t="s">
        <v>10</v>
      </c>
      <c r="B20" s="1299">
        <v>231</v>
      </c>
      <c r="C20" s="326"/>
      <c r="D20" s="326"/>
      <c r="E20" s="326"/>
      <c r="F20" s="326"/>
    </row>
    <row r="21" spans="1:6">
      <c r="A21" s="1298" t="s">
        <v>11</v>
      </c>
      <c r="B21" s="1299">
        <v>1248</v>
      </c>
      <c r="C21" s="326"/>
      <c r="D21" s="326"/>
      <c r="E21" s="326"/>
      <c r="F21" s="326"/>
    </row>
    <row r="22" spans="1:6">
      <c r="A22" s="1298" t="s">
        <v>12</v>
      </c>
      <c r="B22" s="1299">
        <v>2598</v>
      </c>
      <c r="C22" s="326"/>
      <c r="D22" s="326"/>
      <c r="E22" s="326"/>
      <c r="F22" s="326"/>
    </row>
    <row r="23" spans="1:6">
      <c r="A23" s="1298" t="s">
        <v>13</v>
      </c>
      <c r="B23" s="1299">
        <v>90</v>
      </c>
      <c r="C23" s="326"/>
      <c r="D23" s="326"/>
      <c r="E23" s="326"/>
      <c r="F23" s="326"/>
    </row>
    <row r="24" spans="1:6">
      <c r="A24" s="1298" t="s">
        <v>14</v>
      </c>
      <c r="B24" s="1299">
        <v>2</v>
      </c>
      <c r="C24" s="326"/>
      <c r="D24" s="326"/>
      <c r="E24" s="326"/>
      <c r="F24" s="326"/>
    </row>
    <row r="25" spans="1:6">
      <c r="A25" s="1298" t="s">
        <v>15</v>
      </c>
      <c r="B25" s="1299">
        <v>305</v>
      </c>
      <c r="C25" s="326"/>
      <c r="D25" s="326"/>
      <c r="E25" s="326"/>
      <c r="F25" s="326"/>
    </row>
    <row r="26" spans="1:6">
      <c r="A26" s="1298" t="s">
        <v>16</v>
      </c>
      <c r="B26" s="1299">
        <v>15</v>
      </c>
      <c r="C26" s="326"/>
      <c r="D26" s="326"/>
      <c r="E26" s="326"/>
      <c r="F26" s="326"/>
    </row>
    <row r="27" spans="1:6">
      <c r="A27" s="1298" t="s">
        <v>17</v>
      </c>
      <c r="B27" s="1299">
        <v>0</v>
      </c>
      <c r="C27" s="326"/>
      <c r="D27" s="326"/>
      <c r="E27" s="326"/>
      <c r="F27" s="326"/>
    </row>
    <row r="28" spans="1:6" s="43" customFormat="1">
      <c r="A28" s="1300" t="s">
        <v>18</v>
      </c>
      <c r="B28" s="1301">
        <v>56650</v>
      </c>
      <c r="C28" s="332"/>
      <c r="D28" s="332"/>
      <c r="E28" s="332"/>
      <c r="F28" s="332"/>
    </row>
    <row r="29" spans="1:6">
      <c r="A29" s="1300" t="s">
        <v>695</v>
      </c>
      <c r="B29" s="1301">
        <v>170</v>
      </c>
      <c r="C29" s="332"/>
      <c r="D29" s="332"/>
      <c r="E29" s="332"/>
      <c r="F29" s="332"/>
    </row>
    <row r="30" spans="1:6">
      <c r="A30" s="1293" t="s">
        <v>696</v>
      </c>
      <c r="B30" s="1302">
        <v>19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24018</v>
      </c>
    </row>
    <row r="36" spans="1:6">
      <c r="A36" s="1298" t="s">
        <v>24</v>
      </c>
      <c r="B36" s="1298" t="s">
        <v>26</v>
      </c>
      <c r="C36" s="1299">
        <v>0</v>
      </c>
      <c r="D36" s="1299">
        <v>0</v>
      </c>
      <c r="E36" s="1299">
        <v>3</v>
      </c>
      <c r="F36" s="1299">
        <v>3085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2507</v>
      </c>
      <c r="D39" s="1299">
        <v>39067224.850000001</v>
      </c>
      <c r="E39" s="1299">
        <v>4962</v>
      </c>
      <c r="F39" s="1299">
        <v>16377470.85</v>
      </c>
    </row>
    <row r="40" spans="1:6">
      <c r="A40" s="1298" t="s">
        <v>29</v>
      </c>
      <c r="B40" s="1298" t="s">
        <v>28</v>
      </c>
      <c r="C40" s="1299">
        <v>0</v>
      </c>
      <c r="D40" s="1299">
        <v>0</v>
      </c>
      <c r="E40" s="1299">
        <v>0</v>
      </c>
      <c r="F40" s="1299">
        <v>0</v>
      </c>
    </row>
    <row r="41" spans="1:6">
      <c r="A41" s="1298" t="s">
        <v>31</v>
      </c>
      <c r="B41" s="1298" t="s">
        <v>32</v>
      </c>
      <c r="C41" s="1299">
        <v>47</v>
      </c>
      <c r="D41" s="1299">
        <v>843497</v>
      </c>
      <c r="E41" s="1299">
        <v>110</v>
      </c>
      <c r="F41" s="1299">
        <v>1237196.774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1780460.6059999999</v>
      </c>
      <c r="E44" s="1299">
        <v>28</v>
      </c>
      <c r="F44" s="1299">
        <v>1359293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28649</v>
      </c>
      <c r="E48" s="1299">
        <v>9</v>
      </c>
      <c r="F48" s="1299">
        <v>541674</v>
      </c>
    </row>
    <row r="49" spans="1:6">
      <c r="A49" s="1298" t="s">
        <v>31</v>
      </c>
      <c r="B49" s="1298" t="s">
        <v>39</v>
      </c>
      <c r="C49" s="1299">
        <v>0</v>
      </c>
      <c r="D49" s="1299">
        <v>0</v>
      </c>
      <c r="E49" s="1299">
        <v>0</v>
      </c>
      <c r="F49" s="1299">
        <v>0</v>
      </c>
    </row>
    <row r="50" spans="1:6">
      <c r="A50" s="1298" t="s">
        <v>31</v>
      </c>
      <c r="B50" s="1298" t="s">
        <v>40</v>
      </c>
      <c r="C50" s="1299">
        <v>5</v>
      </c>
      <c r="D50" s="1299">
        <v>166429</v>
      </c>
      <c r="E50" s="1299">
        <v>9</v>
      </c>
      <c r="F50" s="1299">
        <v>375861.33299999998</v>
      </c>
    </row>
    <row r="51" spans="1:6">
      <c r="A51" s="1298" t="s">
        <v>41</v>
      </c>
      <c r="B51" s="1298" t="s">
        <v>42</v>
      </c>
      <c r="C51" s="1299">
        <v>2</v>
      </c>
      <c r="D51" s="1299">
        <v>47586</v>
      </c>
      <c r="E51" s="1299">
        <v>24</v>
      </c>
      <c r="F51" s="1299">
        <v>620408</v>
      </c>
    </row>
    <row r="52" spans="1:6">
      <c r="A52" s="1298" t="s">
        <v>41</v>
      </c>
      <c r="B52" s="1298" t="s">
        <v>28</v>
      </c>
      <c r="C52" s="1299">
        <v>0</v>
      </c>
      <c r="D52" s="1299">
        <v>0</v>
      </c>
      <c r="E52" s="1299">
        <v>0</v>
      </c>
      <c r="F52" s="1299">
        <v>0</v>
      </c>
    </row>
    <row r="53" spans="1:6">
      <c r="A53" s="1298" t="s">
        <v>43</v>
      </c>
      <c r="B53" s="1298" t="s">
        <v>44</v>
      </c>
      <c r="C53" s="1299">
        <v>27</v>
      </c>
      <c r="D53" s="1299">
        <v>426371.6</v>
      </c>
      <c r="E53" s="1299">
        <v>74</v>
      </c>
      <c r="F53" s="1299">
        <v>269980.09999999998</v>
      </c>
    </row>
    <row r="54" spans="1:6">
      <c r="A54" s="1298" t="s">
        <v>45</v>
      </c>
      <c r="B54" s="1298" t="s">
        <v>46</v>
      </c>
      <c r="C54" s="1299">
        <v>0</v>
      </c>
      <c r="D54" s="1299">
        <v>0</v>
      </c>
      <c r="E54" s="1299">
        <v>3</v>
      </c>
      <c r="F54" s="1299">
        <v>975226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28</v>
      </c>
      <c r="D57" s="1299">
        <v>425416.4</v>
      </c>
      <c r="E57" s="1299">
        <v>57</v>
      </c>
      <c r="F57" s="1299">
        <v>819706.18200000003</v>
      </c>
    </row>
    <row r="58" spans="1:6">
      <c r="A58" s="1298" t="s">
        <v>48</v>
      </c>
      <c r="B58" s="1298" t="s">
        <v>50</v>
      </c>
      <c r="C58" s="1299">
        <v>21</v>
      </c>
      <c r="D58" s="1299">
        <v>1405466</v>
      </c>
      <c r="E58" s="1299">
        <v>35</v>
      </c>
      <c r="F58" s="1299">
        <v>695986.03</v>
      </c>
    </row>
    <row r="59" spans="1:6">
      <c r="A59" s="1298" t="s">
        <v>48</v>
      </c>
      <c r="B59" s="1298" t="s">
        <v>51</v>
      </c>
      <c r="C59" s="1299">
        <v>38</v>
      </c>
      <c r="D59" s="1299">
        <v>882188.25</v>
      </c>
      <c r="E59" s="1299">
        <v>117</v>
      </c>
      <c r="F59" s="1299">
        <v>2781648.7140000002</v>
      </c>
    </row>
    <row r="60" spans="1:6">
      <c r="A60" s="1298" t="s">
        <v>48</v>
      </c>
      <c r="B60" s="1298" t="s">
        <v>52</v>
      </c>
      <c r="C60" s="1299">
        <v>23</v>
      </c>
      <c r="D60" s="1299">
        <v>1171642</v>
      </c>
      <c r="E60" s="1299">
        <v>51</v>
      </c>
      <c r="F60" s="1299">
        <v>1077014.4169999999</v>
      </c>
    </row>
    <row r="61" spans="1:6">
      <c r="A61" s="1298" t="s">
        <v>48</v>
      </c>
      <c r="B61" s="1298" t="s">
        <v>53</v>
      </c>
      <c r="C61" s="1299">
        <v>79</v>
      </c>
      <c r="D61" s="1299">
        <v>2863854</v>
      </c>
      <c r="E61" s="1299">
        <v>202</v>
      </c>
      <c r="F61" s="1299">
        <v>1979546.939</v>
      </c>
    </row>
    <row r="62" spans="1:6">
      <c r="A62" s="1298" t="s">
        <v>48</v>
      </c>
      <c r="B62" s="1298" t="s">
        <v>54</v>
      </c>
      <c r="C62" s="1299">
        <v>8</v>
      </c>
      <c r="D62" s="1299">
        <v>1503468</v>
      </c>
      <c r="E62" s="1299">
        <v>8</v>
      </c>
      <c r="F62" s="1299">
        <v>317034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3</v>
      </c>
      <c r="D65" s="1299">
        <v>68104</v>
      </c>
      <c r="E65" s="1299">
        <v>1</v>
      </c>
      <c r="F65" s="1299">
        <v>2840</v>
      </c>
    </row>
    <row r="66" spans="1:6">
      <c r="A66" s="1298" t="s">
        <v>55</v>
      </c>
      <c r="B66" s="1298" t="s">
        <v>57</v>
      </c>
      <c r="C66" s="1299">
        <v>0</v>
      </c>
      <c r="D66" s="1299">
        <v>0</v>
      </c>
      <c r="E66" s="1299">
        <v>15</v>
      </c>
      <c r="F66" s="1299">
        <v>144808.18900000001</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151222.96900000001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123513118</v>
      </c>
      <c r="E73" s="446"/>
      <c r="F73" s="326"/>
    </row>
    <row r="74" spans="1:6">
      <c r="A74" s="1298" t="s">
        <v>63</v>
      </c>
      <c r="B74" s="1298" t="s">
        <v>639</v>
      </c>
      <c r="C74" s="1312" t="s">
        <v>641</v>
      </c>
      <c r="D74" s="1313">
        <v>12211774.5</v>
      </c>
      <c r="E74" s="446"/>
      <c r="F74" s="326"/>
    </row>
    <row r="75" spans="1:6">
      <c r="A75" s="1298" t="s">
        <v>64</v>
      </c>
      <c r="B75" s="1298" t="s">
        <v>638</v>
      </c>
      <c r="C75" s="1312" t="s">
        <v>642</v>
      </c>
      <c r="D75" s="1313">
        <v>9362270</v>
      </c>
      <c r="E75" s="446"/>
      <c r="F75" s="326"/>
    </row>
    <row r="76" spans="1:6">
      <c r="A76" s="1298" t="s">
        <v>64</v>
      </c>
      <c r="B76" s="1298" t="s">
        <v>639</v>
      </c>
      <c r="C76" s="1312" t="s">
        <v>643</v>
      </c>
      <c r="D76" s="1313">
        <v>100376.5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563469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5390.8320235245255</v>
      </c>
      <c r="C91" s="326"/>
      <c r="D91" s="326"/>
      <c r="E91" s="326"/>
      <c r="F91" s="326"/>
    </row>
    <row r="92" spans="1:6">
      <c r="A92" s="1293" t="s">
        <v>68</v>
      </c>
      <c r="B92" s="1294">
        <v>1263.0650317471623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496</v>
      </c>
      <c r="C97" s="326"/>
      <c r="D97" s="326"/>
      <c r="E97" s="326"/>
      <c r="F97" s="326"/>
    </row>
    <row r="98" spans="1:6">
      <c r="A98" s="1298" t="s">
        <v>71</v>
      </c>
      <c r="B98" s="1299">
        <v>3</v>
      </c>
      <c r="C98" s="326"/>
      <c r="D98" s="326"/>
      <c r="E98" s="326"/>
      <c r="F98" s="326"/>
    </row>
    <row r="99" spans="1:6">
      <c r="A99" s="1298" t="s">
        <v>72</v>
      </c>
      <c r="B99" s="1299">
        <v>71</v>
      </c>
      <c r="C99" s="326"/>
      <c r="D99" s="326"/>
      <c r="E99" s="326"/>
      <c r="F99" s="326"/>
    </row>
    <row r="100" spans="1:6">
      <c r="A100" s="1298" t="s">
        <v>73</v>
      </c>
      <c r="B100" s="1299">
        <v>218</v>
      </c>
      <c r="C100" s="326"/>
      <c r="D100" s="326"/>
      <c r="E100" s="326"/>
      <c r="F100" s="326"/>
    </row>
    <row r="101" spans="1:6">
      <c r="A101" s="1298" t="s">
        <v>74</v>
      </c>
      <c r="B101" s="1299">
        <v>67</v>
      </c>
      <c r="C101" s="326"/>
      <c r="D101" s="326"/>
      <c r="E101" s="326"/>
      <c r="F101" s="326"/>
    </row>
    <row r="102" spans="1:6">
      <c r="A102" s="1298" t="s">
        <v>75</v>
      </c>
      <c r="B102" s="1299">
        <v>49</v>
      </c>
      <c r="C102" s="326"/>
      <c r="D102" s="326"/>
      <c r="E102" s="326"/>
      <c r="F102" s="326"/>
    </row>
    <row r="103" spans="1:6">
      <c r="A103" s="1298" t="s">
        <v>76</v>
      </c>
      <c r="B103" s="1299">
        <v>75</v>
      </c>
      <c r="C103" s="326"/>
      <c r="D103" s="326"/>
      <c r="E103" s="326"/>
      <c r="F103" s="326"/>
    </row>
    <row r="104" spans="1:6">
      <c r="A104" s="1298" t="s">
        <v>77</v>
      </c>
      <c r="B104" s="1299">
        <v>3050</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37</v>
      </c>
      <c r="C123" s="1299">
        <v>44</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221</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47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35058.787373525796</v>
      </c>
      <c r="C3" s="43" t="s">
        <v>169</v>
      </c>
      <c r="D3" s="43"/>
      <c r="E3" s="154"/>
      <c r="F3" s="43"/>
      <c r="G3" s="43"/>
      <c r="H3" s="43"/>
      <c r="I3" s="43"/>
      <c r="J3" s="43"/>
      <c r="K3" s="96"/>
    </row>
    <row r="4" spans="1:11">
      <c r="A4" s="354" t="s">
        <v>170</v>
      </c>
      <c r="B4" s="49">
        <f>IF(ISERROR('SEAP template'!B78+'SEAP template'!C78),0,'SEAP template'!B78+'SEAP template'!C78)</f>
        <v>6743.8970552716873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21.388235294117649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0.17909857887354563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975.226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975.226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0.17909857887354563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174.66159068053241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16377.47085</v>
      </c>
      <c r="C5" s="17">
        <f>IF(ISERROR('Eigen informatie GS &amp; warmtenet'!B59),0,'Eigen informatie GS &amp; warmtenet'!B59)</f>
        <v>0</v>
      </c>
      <c r="D5" s="30">
        <f>(SUM(HH_hh_gas_kWh,HH_rest_gas_kWh)/1000)*0.902</f>
        <v>35238.636814700003</v>
      </c>
      <c r="E5" s="17">
        <f>B32*B41</f>
        <v>2142.8910092312763</v>
      </c>
      <c r="F5" s="17">
        <f>B36*B45</f>
        <v>34546.25912751985</v>
      </c>
      <c r="G5" s="18"/>
      <c r="H5" s="17"/>
      <c r="I5" s="17"/>
      <c r="J5" s="17">
        <f>B35*B44+C35*C44</f>
        <v>138.01078213354293</v>
      </c>
      <c r="K5" s="17"/>
      <c r="L5" s="17"/>
      <c r="M5" s="17"/>
      <c r="N5" s="17">
        <f>B34*B43+C34*C43</f>
        <v>7086.9702329395968</v>
      </c>
      <c r="O5" s="17">
        <f>B52*B53*B54</f>
        <v>527.73288635695042</v>
      </c>
      <c r="P5" s="17">
        <f>B60*B61*B62/1000-B60*B61*B62/1000/B63</f>
        <v>905.92050046091197</v>
      </c>
    </row>
    <row r="6" spans="1:16">
      <c r="A6" s="16" t="s">
        <v>604</v>
      </c>
      <c r="B6" s="778">
        <f>kWh_PV_kleiner_dan_10kW</f>
        <v>5390.8320235245255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21768.302873524524</v>
      </c>
      <c r="C8" s="21">
        <f>C5</f>
        <v>0</v>
      </c>
      <c r="D8" s="21">
        <f>D5</f>
        <v>35238.636814700003</v>
      </c>
      <c r="E8" s="21">
        <f>E5</f>
        <v>2142.8910092312763</v>
      </c>
      <c r="F8" s="21">
        <f>F5</f>
        <v>34546.25912751985</v>
      </c>
      <c r="G8" s="21"/>
      <c r="H8" s="21"/>
      <c r="I8" s="21"/>
      <c r="J8" s="21">
        <f>J5</f>
        <v>138.01078213354293</v>
      </c>
      <c r="K8" s="21"/>
      <c r="L8" s="21">
        <f>L5</f>
        <v>0</v>
      </c>
      <c r="M8" s="21">
        <f>M5</f>
        <v>0</v>
      </c>
      <c r="N8" s="21">
        <f>N5</f>
        <v>7086.9702329395968</v>
      </c>
      <c r="O8" s="21">
        <f>O5</f>
        <v>527.73288635695042</v>
      </c>
      <c r="P8" s="21">
        <f>P5</f>
        <v>905.92050046091197</v>
      </c>
    </row>
    <row r="9" spans="1:16">
      <c r="B9" s="19"/>
      <c r="C9" s="19"/>
      <c r="D9" s="256"/>
      <c r="E9" s="19"/>
      <c r="F9" s="19"/>
      <c r="G9" s="19"/>
      <c r="H9" s="19"/>
      <c r="I9" s="19"/>
      <c r="J9" s="19"/>
      <c r="K9" s="19"/>
      <c r="L9" s="19"/>
      <c r="M9" s="19"/>
      <c r="N9" s="19"/>
      <c r="O9" s="19"/>
      <c r="P9" s="19"/>
    </row>
    <row r="10" spans="1:16">
      <c r="A10" s="24" t="s">
        <v>213</v>
      </c>
      <c r="B10" s="25">
        <f ca="1">'EF ele_warmte'!B12</f>
        <v>0.17909857887354563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3898.6721091371619</v>
      </c>
      <c r="C12" s="23">
        <f ca="1">C10*C8</f>
        <v>0</v>
      </c>
      <c r="D12" s="23">
        <f>D8*D10</f>
        <v>7118.2046365694014</v>
      </c>
      <c r="E12" s="23">
        <f>E10*E8</f>
        <v>486.43625909549974</v>
      </c>
      <c r="F12" s="23">
        <f>F10*F8</f>
        <v>9223.8511870477996</v>
      </c>
      <c r="G12" s="23"/>
      <c r="H12" s="23"/>
      <c r="I12" s="23"/>
      <c r="J12" s="23">
        <f>J10*J8</f>
        <v>48.855816875274193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4952</v>
      </c>
      <c r="C26" s="36"/>
      <c r="D26" s="226"/>
    </row>
    <row r="27" spans="1:7" s="15" customFormat="1">
      <c r="A27" s="228" t="s">
        <v>806</v>
      </c>
      <c r="B27" s="37">
        <f>SUM(HH_hh_gas_aantal,HH_rest_gas_aantal)</f>
        <v>2507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2381.65</v>
      </c>
      <c r="C31" s="166" t="s">
        <v>110</v>
      </c>
      <c r="D31" s="231"/>
      <c r="G31" s="15"/>
    </row>
    <row r="32" spans="1:7">
      <c r="A32" s="169" t="s">
        <v>72</v>
      </c>
      <c r="B32" s="166">
        <f>IF((B21*($B$26-($B$27-0.05*$B$27)-$B$60))&lt;0,0,B21*($B$26-($B$27-0.05*$B$27)-$B$60))</f>
        <v>39.439549875276668</v>
      </c>
      <c r="C32" s="166" t="s">
        <v>110</v>
      </c>
      <c r="D32" s="231"/>
      <c r="G32" s="15"/>
    </row>
    <row r="33" spans="1:7">
      <c r="A33" s="169" t="s">
        <v>73</v>
      </c>
      <c r="B33" s="166">
        <f>IF((B22*($B$26-($B$27-0.05*$B$27)-$B$60))&lt;0,0,B22*($B$26-($B$27-0.05*$B$27)-$B$60))</f>
        <v>640.42017908862874</v>
      </c>
      <c r="C33" s="166" t="s">
        <v>110</v>
      </c>
      <c r="D33" s="231"/>
      <c r="G33" s="15"/>
    </row>
    <row r="34" spans="1:7">
      <c r="A34" s="169" t="s">
        <v>74</v>
      </c>
      <c r="B34" s="166">
        <f>IF((B24*($B$26-($B$27-0.05*$B$27)-$B$60))&lt;0,0,B24*($B$26-($B$27-0.05*$B$27)-$B$60))</f>
        <v>122.77711873134307</v>
      </c>
      <c r="C34" s="166">
        <f>B26*C24</f>
        <v>1014.6942139220067</v>
      </c>
      <c r="D34" s="231"/>
      <c r="G34" s="15"/>
    </row>
    <row r="35" spans="1:7">
      <c r="A35" s="169" t="s">
        <v>76</v>
      </c>
      <c r="B35" s="166">
        <f>IF((B19*($B$26-($B$27-0.05*$B$27)-$B$60))&lt;0,0,B19*($B$26-($B$27-0.05*$B$27)-$B$60))</f>
        <v>17.144278304322228</v>
      </c>
      <c r="C35" s="166">
        <f>B35/2</f>
        <v>8.5721391521611139</v>
      </c>
      <c r="D35" s="232"/>
      <c r="G35" s="15"/>
    </row>
    <row r="36" spans="1:7">
      <c r="A36" s="169" t="s">
        <v>77</v>
      </c>
      <c r="B36" s="166">
        <f>IF((B18*($B$26-($B$27-0.05*$B$27)-$B$60))&lt;0,0,B18*($B$26-($B$27-0.05*$B$27)-$B$60))</f>
        <v>1664.5688740004287</v>
      </c>
      <c r="C36" s="166" t="s">
        <v>110</v>
      </c>
      <c r="D36" s="232"/>
      <c r="G36" s="15"/>
    </row>
    <row r="37" spans="1:7">
      <c r="A37" s="169" t="s">
        <v>78</v>
      </c>
      <c r="B37" s="166">
        <f>B60</f>
        <v>86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266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7670.9362819999997</v>
      </c>
      <c r="C5" s="17">
        <f>IF(ISERROR('Eigen informatie GS &amp; warmtenet'!B60),0,'Eigen informatie GS &amp; warmtenet'!B60)</f>
        <v>0</v>
      </c>
      <c r="D5" s="30">
        <f>SUM(D6:D12)</f>
        <v>7443.335254300001</v>
      </c>
      <c r="E5" s="17">
        <f>SUM(E6:E12)</f>
        <v>112.7988274164836</v>
      </c>
      <c r="F5" s="17">
        <f>SUM(F6:F12)</f>
        <v>859.61651120755459</v>
      </c>
      <c r="G5" s="18"/>
      <c r="H5" s="17"/>
      <c r="I5" s="17"/>
      <c r="J5" s="17">
        <f>SUM(J6:J12)</f>
        <v>1.3915376921918115E-2</v>
      </c>
      <c r="K5" s="17"/>
      <c r="L5" s="17"/>
      <c r="M5" s="17"/>
      <c r="N5" s="17">
        <f>SUM(N6:N12)</f>
        <v>550.73975756504649</v>
      </c>
      <c r="O5" s="17">
        <f>B38*B39*B40</f>
        <v>4.8972607658411542</v>
      </c>
      <c r="P5" s="17">
        <f>B46*B47*B48/1000-B46*B47*B48/1000/B49</f>
        <v>0</v>
      </c>
      <c r="R5" s="32"/>
    </row>
    <row r="6" spans="1:18">
      <c r="A6" s="32" t="s">
        <v>53</v>
      </c>
      <c r="B6" s="37">
        <f>B26</f>
        <v>1979.5469390000001</v>
      </c>
      <c r="C6" s="33"/>
      <c r="D6" s="37">
        <f>IF(ISERROR(TER_kantoor_gas_kWh/1000),0,TER_kantoor_gas_kWh/1000)*0.902</f>
        <v>2583.196308</v>
      </c>
      <c r="E6" s="33">
        <f>$C$26*'E Balans VL '!I12/100/3.6*1000000</f>
        <v>15.928779525381746</v>
      </c>
      <c r="F6" s="33">
        <f>$C$26*('E Balans VL '!L12+'E Balans VL '!N12)/100/3.6*1000000</f>
        <v>242.02043745984892</v>
      </c>
      <c r="G6" s="34"/>
      <c r="H6" s="33"/>
      <c r="I6" s="33"/>
      <c r="J6" s="33">
        <f>$C$26*('E Balans VL '!D12+'E Balans VL '!E12)/100/3.6*1000000</f>
        <v>0</v>
      </c>
      <c r="K6" s="33"/>
      <c r="L6" s="33"/>
      <c r="M6" s="33"/>
      <c r="N6" s="33">
        <f>$C$26*'E Balans VL '!Y12/100/3.6*1000000</f>
        <v>1.0639089975766844</v>
      </c>
      <c r="O6" s="33"/>
      <c r="P6" s="33"/>
      <c r="R6" s="32"/>
    </row>
    <row r="7" spans="1:18">
      <c r="A7" s="32" t="s">
        <v>52</v>
      </c>
      <c r="B7" s="37">
        <f t="shared" ref="B7:B12" si="0">B27</f>
        <v>1077.0144169999999</v>
      </c>
      <c r="C7" s="33"/>
      <c r="D7" s="37">
        <f>IF(ISERROR(TER_horeca_gas_kWh/1000),0,TER_horeca_gas_kWh/1000)*0.902</f>
        <v>1056.8210840000002</v>
      </c>
      <c r="E7" s="33">
        <f>$C$27*'E Balans VL '!I9/100/3.6*1000000</f>
        <v>11.564490153537552</v>
      </c>
      <c r="F7" s="33">
        <f>$C$27*('E Balans VL '!L9+'E Balans VL '!N9)/100/3.6*1000000</f>
        <v>129.53871817346285</v>
      </c>
      <c r="G7" s="34"/>
      <c r="H7" s="33"/>
      <c r="I7" s="33"/>
      <c r="J7" s="33">
        <f>$C$27*('E Balans VL '!D9+'E Balans VL '!E9)/100/3.6*1000000</f>
        <v>0</v>
      </c>
      <c r="K7" s="33"/>
      <c r="L7" s="33"/>
      <c r="M7" s="33"/>
      <c r="N7" s="33">
        <f>$C$27*'E Balans VL '!Y9/100/3.6*1000000</f>
        <v>0.16146628965627016</v>
      </c>
      <c r="O7" s="33"/>
      <c r="P7" s="33"/>
      <c r="R7" s="32"/>
    </row>
    <row r="8" spans="1:18">
      <c r="A8" s="6" t="s">
        <v>51</v>
      </c>
      <c r="B8" s="37">
        <f t="shared" si="0"/>
        <v>2781.6487139999999</v>
      </c>
      <c r="C8" s="33"/>
      <c r="D8" s="37">
        <f>IF(ISERROR(TER_handel_gas_kWh/1000),0,TER_handel_gas_kWh/1000)*0.902</f>
        <v>795.73380150000003</v>
      </c>
      <c r="E8" s="33">
        <f>$C$28*'E Balans VL '!I13/100/3.6*1000000</f>
        <v>74.650935548833402</v>
      </c>
      <c r="F8" s="33">
        <f>$C$28*('E Balans VL '!L13+'E Balans VL '!N13)/100/3.6*1000000</f>
        <v>265.45501993956003</v>
      </c>
      <c r="G8" s="34"/>
      <c r="H8" s="33"/>
      <c r="I8" s="33"/>
      <c r="J8" s="33">
        <f>$C$28*('E Balans VL '!D13+'E Balans VL '!E13)/100/3.6*1000000</f>
        <v>0</v>
      </c>
      <c r="K8" s="33"/>
      <c r="L8" s="33"/>
      <c r="M8" s="33"/>
      <c r="N8" s="33">
        <f>$C$28*'E Balans VL '!Y13/100/3.6*1000000</f>
        <v>1.1026771786477501</v>
      </c>
      <c r="O8" s="33"/>
      <c r="P8" s="33"/>
      <c r="R8" s="32"/>
    </row>
    <row r="9" spans="1:18">
      <c r="A9" s="32" t="s">
        <v>50</v>
      </c>
      <c r="B9" s="37">
        <f t="shared" si="0"/>
        <v>695.98603000000003</v>
      </c>
      <c r="C9" s="33"/>
      <c r="D9" s="37">
        <f>IF(ISERROR(TER_gezond_gas_kWh/1000),0,TER_gezond_gas_kWh/1000)*0.902</f>
        <v>1267.7303319999999</v>
      </c>
      <c r="E9" s="33">
        <f>$C$29*'E Balans VL '!I10/100/3.6*1000000</f>
        <v>1.3045044431121946</v>
      </c>
      <c r="F9" s="33">
        <f>$C$29*('E Balans VL '!L10+'E Balans VL '!N10)/100/3.6*1000000</f>
        <v>57.216402049205684</v>
      </c>
      <c r="G9" s="34"/>
      <c r="H9" s="33"/>
      <c r="I9" s="33"/>
      <c r="J9" s="33">
        <f>$C$29*('E Balans VL '!D10+'E Balans VL '!E10)/100/3.6*1000000</f>
        <v>0</v>
      </c>
      <c r="K9" s="33"/>
      <c r="L9" s="33"/>
      <c r="M9" s="33"/>
      <c r="N9" s="33">
        <f>$C$29*'E Balans VL '!Y10/100/3.6*1000000</f>
        <v>5.4152905935921698</v>
      </c>
      <c r="O9" s="33"/>
      <c r="P9" s="33"/>
      <c r="R9" s="32"/>
    </row>
    <row r="10" spans="1:18">
      <c r="A10" s="32" t="s">
        <v>49</v>
      </c>
      <c r="B10" s="37">
        <f t="shared" si="0"/>
        <v>819.70618200000001</v>
      </c>
      <c r="C10" s="33"/>
      <c r="D10" s="37">
        <f>IF(ISERROR(TER_ander_gas_kWh/1000),0,TER_ander_gas_kWh/1000)*0.902</f>
        <v>383.72559280000002</v>
      </c>
      <c r="E10" s="33">
        <f>$C$30*'E Balans VL '!I14/100/3.6*1000000</f>
        <v>1.2635853855074048</v>
      </c>
      <c r="F10" s="33">
        <f>$C$30*('E Balans VL '!L14+'E Balans VL '!N14)/100/3.6*1000000</f>
        <v>127.25961104783286</v>
      </c>
      <c r="G10" s="34"/>
      <c r="H10" s="33"/>
      <c r="I10" s="33"/>
      <c r="J10" s="33">
        <f>$C$30*('E Balans VL '!D14+'E Balans VL '!E14)/100/3.6*1000000</f>
        <v>1.3915376921918115E-2</v>
      </c>
      <c r="K10" s="33"/>
      <c r="L10" s="33"/>
      <c r="M10" s="33"/>
      <c r="N10" s="33">
        <f>$C$30*'E Balans VL '!Y14/100/3.6*1000000</f>
        <v>542.29133862526987</v>
      </c>
      <c r="O10" s="33"/>
      <c r="P10" s="33"/>
      <c r="R10" s="32"/>
    </row>
    <row r="11" spans="1:18">
      <c r="A11" s="32" t="s">
        <v>54</v>
      </c>
      <c r="B11" s="37">
        <f t="shared" si="0"/>
        <v>317.03399999999999</v>
      </c>
      <c r="C11" s="33"/>
      <c r="D11" s="37">
        <f>IF(ISERROR(TER_onderwijs_gas_kWh/1000),0,TER_onderwijs_gas_kWh/1000)*0.902</f>
        <v>1356.128136</v>
      </c>
      <c r="E11" s="33">
        <f>$C$31*'E Balans VL '!I11/100/3.6*1000000</f>
        <v>8.0865323601112902</v>
      </c>
      <c r="F11" s="33">
        <f>$C$31*('E Balans VL '!L11+'E Balans VL '!N11)/100/3.6*1000000</f>
        <v>38.126322537644135</v>
      </c>
      <c r="G11" s="34"/>
      <c r="H11" s="33"/>
      <c r="I11" s="33"/>
      <c r="J11" s="33">
        <f>$C$31*('E Balans VL '!D11+'E Balans VL '!E11)/100/3.6*1000000</f>
        <v>0</v>
      </c>
      <c r="K11" s="33"/>
      <c r="L11" s="33"/>
      <c r="M11" s="33"/>
      <c r="N11" s="33">
        <f>$C$31*'E Balans VL '!Y11/100/3.6*1000000</f>
        <v>0.70507588030374413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90</v>
      </c>
      <c r="C13" s="245">
        <f ca="1">'lokale energieproductie'!O38+'lokale energieproductie'!O31</f>
        <v>128.57142857142858</v>
      </c>
      <c r="D13" s="304">
        <f ca="1">('lokale energieproductie'!P31+'lokale energieproductie'!P38)*(-1)</f>
        <v>-257.14285714285717</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7760.9362819999997</v>
      </c>
      <c r="C16" s="21">
        <f t="shared" ca="1" si="1"/>
        <v>128.57142857142858</v>
      </c>
      <c r="D16" s="21">
        <f t="shared" ca="1" si="1"/>
        <v>7186.1923971571441</v>
      </c>
      <c r="E16" s="21">
        <f t="shared" si="1"/>
        <v>112.7988274164836</v>
      </c>
      <c r="F16" s="21">
        <f t="shared" ca="1" si="1"/>
        <v>859.61651120755459</v>
      </c>
      <c r="G16" s="21">
        <f t="shared" si="1"/>
        <v>0</v>
      </c>
      <c r="H16" s="21">
        <f t="shared" si="1"/>
        <v>0</v>
      </c>
      <c r="I16" s="21">
        <f t="shared" si="1"/>
        <v>0</v>
      </c>
      <c r="J16" s="21">
        <f t="shared" si="1"/>
        <v>1.3915376921918115E-2</v>
      </c>
      <c r="K16" s="21">
        <f t="shared" si="1"/>
        <v>0</v>
      </c>
      <c r="L16" s="21">
        <f t="shared" ca="1" si="1"/>
        <v>0</v>
      </c>
      <c r="M16" s="21">
        <f t="shared" si="1"/>
        <v>0</v>
      </c>
      <c r="N16" s="21">
        <f t="shared" ca="1" si="1"/>
        <v>550.73975756504649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0.17909857887354563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1389.972658834339</v>
      </c>
      <c r="C20" s="23">
        <f t="shared" ref="C20:P20" ca="1" si="2">C16*C18</f>
        <v>30.554621848739504</v>
      </c>
      <c r="D20" s="23">
        <f t="shared" ca="1" si="2"/>
        <v>1451.6108642257432</v>
      </c>
      <c r="E20" s="23">
        <f t="shared" si="2"/>
        <v>25.60533382354178</v>
      </c>
      <c r="F20" s="23">
        <f t="shared" ca="1" si="2"/>
        <v>229.51760849241708</v>
      </c>
      <c r="G20" s="23">
        <f t="shared" si="2"/>
        <v>0</v>
      </c>
      <c r="H20" s="23">
        <f t="shared" si="2"/>
        <v>0</v>
      </c>
      <c r="I20" s="23">
        <f t="shared" si="2"/>
        <v>0</v>
      </c>
      <c r="J20" s="23">
        <f t="shared" si="2"/>
        <v>4.9260434303590121E-3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1979.5469390000001</v>
      </c>
      <c r="C26" s="39">
        <f>IF(ISERROR(B26*3.6/1000000/'E Balans VL '!Z12*100),0,B26*3.6/1000000/'E Balans VL '!Z12*100)</f>
        <v>4.199427723340849E-2</v>
      </c>
      <c r="D26" s="235" t="s">
        <v>698</v>
      </c>
      <c r="F26" s="6"/>
    </row>
    <row r="27" spans="1:18">
      <c r="A27" s="229" t="s">
        <v>52</v>
      </c>
      <c r="B27" s="33">
        <f>IF(ISERROR(TER_horeca_ele_kWh/1000),0,TER_horeca_ele_kWh/1000)</f>
        <v>1077.0144169999999</v>
      </c>
      <c r="C27" s="39">
        <f>IF(ISERROR(B27*3.6/1000000/'E Balans VL '!Z9*100),0,B27*3.6/1000000/'E Balans VL '!Z9*100)</f>
        <v>8.1108726339375603E-2</v>
      </c>
      <c r="D27" s="235" t="s">
        <v>698</v>
      </c>
      <c r="F27" s="6"/>
    </row>
    <row r="28" spans="1:18">
      <c r="A28" s="169" t="s">
        <v>51</v>
      </c>
      <c r="B28" s="33">
        <f>IF(ISERROR(TER_handel_ele_kWh/1000),0,TER_handel_ele_kWh/1000)</f>
        <v>2781.6487139999999</v>
      </c>
      <c r="C28" s="39">
        <f>IF(ISERROR(B28*3.6/1000000/'E Balans VL '!Z13*100),0,B28*3.6/1000000/'E Balans VL '!Z13*100)</f>
        <v>8.0741406017031669E-2</v>
      </c>
      <c r="D28" s="235" t="s">
        <v>698</v>
      </c>
      <c r="F28" s="6"/>
    </row>
    <row r="29" spans="1:18">
      <c r="A29" s="229" t="s">
        <v>50</v>
      </c>
      <c r="B29" s="33">
        <f>IF(ISERROR(TER_gezond_ele_kWh/1000),0,TER_gezond_ele_kWh/1000)</f>
        <v>695.98603000000003</v>
      </c>
      <c r="C29" s="39">
        <f>IF(ISERROR(B29*3.6/1000000/'E Balans VL '!Z10*100),0,B29*3.6/1000000/'E Balans VL '!Z10*100)</f>
        <v>7.019102112264583E-2</v>
      </c>
      <c r="D29" s="235" t="s">
        <v>698</v>
      </c>
      <c r="F29" s="6"/>
    </row>
    <row r="30" spans="1:18">
      <c r="A30" s="229" t="s">
        <v>49</v>
      </c>
      <c r="B30" s="33">
        <f>IF(ISERROR(TER_ander_ele_kWh/1000),0,TER_ander_ele_kWh/1000)</f>
        <v>819.70618200000001</v>
      </c>
      <c r="C30" s="39">
        <f>IF(ISERROR(B30*3.6/1000000/'E Balans VL '!Z14*100),0,B30*3.6/1000000/'E Balans VL '!Z14*100)</f>
        <v>5.948086634685356E-2</v>
      </c>
      <c r="D30" s="235" t="s">
        <v>698</v>
      </c>
      <c r="F30" s="6"/>
    </row>
    <row r="31" spans="1:18">
      <c r="A31" s="229" t="s">
        <v>54</v>
      </c>
      <c r="B31" s="33">
        <f>IF(ISERROR(TER_onderwijs_ele_kWh/1000),0,TER_onderwijs_ele_kWh/1000)</f>
        <v>317.03399999999999</v>
      </c>
      <c r="C31" s="39">
        <f>IF(ISERROR(B31*3.6/1000000/'E Balans VL '!Z11*100),0,B31*3.6/1000000/'E Balans VL '!Z11*100)</f>
        <v>9.0367600225626926E-2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3514.0251069999995</v>
      </c>
      <c r="C5" s="17">
        <f>IF(ISERROR('Eigen informatie GS &amp; warmtenet'!B61),0,'Eigen informatie GS &amp; warmtenet'!B61)</f>
        <v>0</v>
      </c>
      <c r="D5" s="30">
        <f>SUM(D6:D15)</f>
        <v>2542.770116612</v>
      </c>
      <c r="E5" s="17">
        <f>SUM(E6:E15)</f>
        <v>378.91534392473005</v>
      </c>
      <c r="F5" s="17">
        <f>SUM(F6:F15)</f>
        <v>1270.5592107058592</v>
      </c>
      <c r="G5" s="18"/>
      <c r="H5" s="17"/>
      <c r="I5" s="17"/>
      <c r="J5" s="17">
        <f>SUM(J6:J15)</f>
        <v>5.8420693620951729</v>
      </c>
      <c r="K5" s="17"/>
      <c r="L5" s="17"/>
      <c r="M5" s="17"/>
      <c r="N5" s="17">
        <f>SUM(N6:N15)</f>
        <v>150.11741512056068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1359.2929999999999</v>
      </c>
      <c r="C8" s="33"/>
      <c r="D8" s="37">
        <f>IF( ISERROR(IND_metaal_Gas_kWH/1000),0,IND_metaal_Gas_kWH/1000)*0.902</f>
        <v>1605.975466612</v>
      </c>
      <c r="E8" s="33">
        <f>C30*'E Balans VL '!I18/100/3.6*1000000</f>
        <v>9.8063449540083454</v>
      </c>
      <c r="F8" s="33">
        <f>C30*'E Balans VL '!L18/100/3.6*1000000+C30*'E Balans VL '!N18/100/3.6*1000000</f>
        <v>128.56405419279099</v>
      </c>
      <c r="G8" s="34"/>
      <c r="H8" s="33"/>
      <c r="I8" s="33"/>
      <c r="J8" s="40">
        <f>C30*'E Balans VL '!D18/100/3.6*1000000+C30*'E Balans VL '!E18/100/3.6*1000000</f>
        <v>1.367184798520922</v>
      </c>
      <c r="K8" s="33"/>
      <c r="L8" s="33"/>
      <c r="M8" s="33"/>
      <c r="N8" s="33">
        <f>C30*'E Balans VL '!Y18/100/3.6*1000000</f>
        <v>17.185059854224683</v>
      </c>
      <c r="O8" s="33"/>
      <c r="P8" s="33"/>
      <c r="R8" s="32"/>
    </row>
    <row r="9" spans="1:18">
      <c r="A9" s="6" t="s">
        <v>32</v>
      </c>
      <c r="B9" s="37">
        <f t="shared" si="0"/>
        <v>1237.196774</v>
      </c>
      <c r="C9" s="33"/>
      <c r="D9" s="37">
        <f>IF( ISERROR(IND_andere_gas_kWh/1000),0,IND_andere_gas_kWh/1000)*0.902</f>
        <v>760.834294</v>
      </c>
      <c r="E9" s="33">
        <f>C31*'E Balans VL '!I19/100/3.6*1000000</f>
        <v>342.84376946886164</v>
      </c>
      <c r="F9" s="33">
        <f>C31*'E Balans VL '!L19/100/3.6*1000000+C31*'E Balans VL '!N19/100/3.6*1000000</f>
        <v>1025.3913598940339</v>
      </c>
      <c r="G9" s="34"/>
      <c r="H9" s="33"/>
      <c r="I9" s="33"/>
      <c r="J9" s="40">
        <f>C31*'E Balans VL '!D19/100/3.6*1000000+C31*'E Balans VL '!E19/100/3.6*1000000</f>
        <v>0</v>
      </c>
      <c r="K9" s="33"/>
      <c r="L9" s="33"/>
      <c r="M9" s="33"/>
      <c r="N9" s="33">
        <f>C31*'E Balans VL '!Y19/100/3.6*1000000</f>
        <v>89.805353237629888</v>
      </c>
      <c r="O9" s="33"/>
      <c r="P9" s="33"/>
      <c r="R9" s="32"/>
    </row>
    <row r="10" spans="1:18">
      <c r="A10" s="6" t="s">
        <v>40</v>
      </c>
      <c r="B10" s="37">
        <f t="shared" si="0"/>
        <v>375.861333</v>
      </c>
      <c r="C10" s="33"/>
      <c r="D10" s="37">
        <f>IF( ISERROR(IND_voed_gas_kWh/1000),0,IND_voed_gas_kWh/1000)*0.902</f>
        <v>150.11895799999999</v>
      </c>
      <c r="E10" s="33">
        <f>C32*'E Balans VL '!I20/100/3.6*1000000</f>
        <v>0.66540187180584964</v>
      </c>
      <c r="F10" s="33">
        <f>C32*'E Balans VL '!L20/100/3.6*1000000+C32*'E Balans VL '!N20/100/3.6*1000000</f>
        <v>20.299843211112769</v>
      </c>
      <c r="G10" s="34"/>
      <c r="H10" s="33"/>
      <c r="I10" s="33"/>
      <c r="J10" s="40">
        <f>C32*'E Balans VL '!D20/100/3.6*1000000+C32*'E Balans VL '!E20/100/3.6*1000000</f>
        <v>0</v>
      </c>
      <c r="K10" s="33"/>
      <c r="L10" s="33"/>
      <c r="M10" s="33"/>
      <c r="N10" s="33">
        <f>C32*'E Balans VL '!Y20/100/3.6*1000000</f>
        <v>21.840413936068963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541.67399999999998</v>
      </c>
      <c r="C15" s="33"/>
      <c r="D15" s="37">
        <f>IF( ISERROR(IND_rest_gas_kWh/1000),0,IND_rest_gas_kWh/1000)*0.902</f>
        <v>25.841398000000002</v>
      </c>
      <c r="E15" s="33">
        <f>C37*'E Balans VL '!I15/100/3.6*1000000</f>
        <v>25.599827630054239</v>
      </c>
      <c r="F15" s="33">
        <f>C37*'E Balans VL '!L15/100/3.6*1000000+C37*'E Balans VL '!N15/100/3.6*1000000</f>
        <v>96.303953407921441</v>
      </c>
      <c r="G15" s="34"/>
      <c r="H15" s="33"/>
      <c r="I15" s="33"/>
      <c r="J15" s="40">
        <f>C37*'E Balans VL '!D15/100/3.6*1000000+C37*'E Balans VL '!E15/100/3.6*1000000</f>
        <v>4.4748845635742507</v>
      </c>
      <c r="K15" s="33"/>
      <c r="L15" s="33"/>
      <c r="M15" s="33"/>
      <c r="N15" s="33">
        <f>C37*'E Balans VL '!Y15/100/3.6*1000000</f>
        <v>21.28658809263716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3514.0251069999995</v>
      </c>
      <c r="C18" s="21">
        <f>C5+C16</f>
        <v>0</v>
      </c>
      <c r="D18" s="21">
        <f>MAX((D5+D16),0)</f>
        <v>2542.770116612</v>
      </c>
      <c r="E18" s="21">
        <f>MAX((E5+E16),0)</f>
        <v>378.91534392473005</v>
      </c>
      <c r="F18" s="21">
        <f>MAX((F5+F16),0)</f>
        <v>1270.5592107058592</v>
      </c>
      <c r="G18" s="21"/>
      <c r="H18" s="21"/>
      <c r="I18" s="21"/>
      <c r="J18" s="21">
        <f>MAX((J5+J16),0)</f>
        <v>5.8420693620951729</v>
      </c>
      <c r="K18" s="21"/>
      <c r="L18" s="21">
        <f>MAX((L5+L16),0)</f>
        <v>0</v>
      </c>
      <c r="M18" s="21"/>
      <c r="N18" s="21">
        <f>MAX((N5+N16),0)</f>
        <v>150.11741512056068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0.17909857887354563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629.35690278965899</v>
      </c>
      <c r="C22" s="23">
        <f ca="1">C18*C20</f>
        <v>0</v>
      </c>
      <c r="D22" s="23">
        <f>D18*D20</f>
        <v>513.63956355562402</v>
      </c>
      <c r="E22" s="23">
        <f>E18*E20</f>
        <v>86.013783070913718</v>
      </c>
      <c r="F22" s="23">
        <f>F18*F20</f>
        <v>339.2393092584644</v>
      </c>
      <c r="G22" s="23"/>
      <c r="H22" s="23"/>
      <c r="I22" s="23"/>
      <c r="J22" s="23">
        <f>J18*J20</f>
        <v>2.0680925541816912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1359.2929999999999</v>
      </c>
      <c r="C30" s="39">
        <f>IF(ISERROR(B30*3.6/1000000/'E Balans VL '!Z18*100),0,B30*3.6/1000000/'E Balans VL '!Z18*100)</f>
        <v>7.8469863920337585E-2</v>
      </c>
      <c r="D30" s="235" t="s">
        <v>698</v>
      </c>
    </row>
    <row r="31" spans="1:18">
      <c r="A31" s="6" t="s">
        <v>32</v>
      </c>
      <c r="B31" s="37">
        <f>IF( ISERROR(IND_ander_ele_kWh/1000),0,IND_ander_ele_kWh/1000)</f>
        <v>1237.196774</v>
      </c>
      <c r="C31" s="39">
        <f>IF(ISERROR(B31*3.6/1000000/'E Balans VL '!Z19*100),0,B31*3.6/1000000/'E Balans VL '!Z19*100)</f>
        <v>6.2226987514136634E-2</v>
      </c>
      <c r="D31" s="235" t="s">
        <v>698</v>
      </c>
    </row>
    <row r="32" spans="1:18">
      <c r="A32" s="169" t="s">
        <v>40</v>
      </c>
      <c r="B32" s="37">
        <f>IF( ISERROR(IND_voed_ele_kWh/1000),0,IND_voed_ele_kWh/1000)</f>
        <v>375.861333</v>
      </c>
      <c r="C32" s="39">
        <f>IF(ISERROR(B32*3.6/1000000/'E Balans VL '!Z20*100),0,B32*3.6/1000000/'E Balans VL '!Z20*100)</f>
        <v>1.2518414346741053E-2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541.67399999999998</v>
      </c>
      <c r="C37" s="39">
        <f>IF(ISERROR(B37*3.6/1000000/'E Balans VL '!Z15*100),0,B37*3.6/1000000/'E Balans VL '!Z15*100)</f>
        <v>4.2265384786168972E-3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620.40800000000002</v>
      </c>
      <c r="C5" s="17">
        <f>'Eigen informatie GS &amp; warmtenet'!B62</f>
        <v>0</v>
      </c>
      <c r="D5" s="30">
        <f>IF(ISERROR(SUM(LB_lb_gas_kWh,LB_rest_gas_kWh)/1000),0,SUM(LB_lb_gas_kWh,LB_rest_gas_kWh)/1000)*0.902</f>
        <v>42.922572000000002</v>
      </c>
      <c r="E5" s="17">
        <f>B17*'E Balans VL '!I25/3.6*1000000/100</f>
        <v>19.362729094680862</v>
      </c>
      <c r="F5" s="17">
        <f>B17*('E Balans VL '!L25/3.6*1000000+'E Balans VL '!N25/3.6*1000000)/100</f>
        <v>2192.5905989442626</v>
      </c>
      <c r="G5" s="18"/>
      <c r="H5" s="17"/>
      <c r="I5" s="17"/>
      <c r="J5" s="17">
        <f>('E Balans VL '!D25+'E Balans VL '!E25)/3.6*1000000*landbouw!B17/100</f>
        <v>170.92670649177325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620.40800000000002</v>
      </c>
      <c r="C8" s="21">
        <f>C5+C6</f>
        <v>0</v>
      </c>
      <c r="D8" s="21">
        <f>MAX((D5+D6),0)</f>
        <v>42.922572000000002</v>
      </c>
      <c r="E8" s="21">
        <f>MAX((E5+E6),0)</f>
        <v>19.362729094680862</v>
      </c>
      <c r="F8" s="21">
        <f>MAX((F5+F6),0)</f>
        <v>2192.5905989442626</v>
      </c>
      <c r="G8" s="21"/>
      <c r="H8" s="21"/>
      <c r="I8" s="21"/>
      <c r="J8" s="21">
        <f>MAX((J5+J6),0)</f>
        <v>170.92670649177325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0.17909857887354563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111.1141911217787</v>
      </c>
      <c r="C12" s="23">
        <f ca="1">C8*C10</f>
        <v>0</v>
      </c>
      <c r="D12" s="23">
        <f>D8*D10</f>
        <v>8.6703595440000019</v>
      </c>
      <c r="E12" s="23">
        <f>E8*E10</f>
        <v>4.3953395044925561</v>
      </c>
      <c r="F12" s="23">
        <f>F8*F10</f>
        <v>585.4216899181182</v>
      </c>
      <c r="G12" s="23"/>
      <c r="H12" s="23"/>
      <c r="I12" s="23"/>
      <c r="J12" s="23">
        <f>J8*J10</f>
        <v>60.508054098087726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9.2228096705821452E-2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121.47113278893251</v>
      </c>
      <c r="C26" s="245">
        <f>B26*'GWP N2O_CH4'!B5</f>
        <v>2550.8937885675828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41.841446600058056</v>
      </c>
      <c r="C27" s="245">
        <f>B27*'GWP N2O_CH4'!B5</f>
        <v>878.67037860121923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1.4957483910378211</v>
      </c>
      <c r="C28" s="245">
        <f>B28*'GWP N2O_CH4'!B4</f>
        <v>463.68200122172453</v>
      </c>
      <c r="D28" s="50"/>
    </row>
    <row r="29" spans="1:4">
      <c r="A29" s="41" t="s">
        <v>271</v>
      </c>
      <c r="B29" s="245">
        <f>B34*'ha_N2O bodem landbouw'!B4</f>
        <v>12.100748555763793</v>
      </c>
      <c r="C29" s="245">
        <f>B29*'GWP N2O_CH4'!B4</f>
        <v>3751.2320522867758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2.6534762891999996E-3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4.4421488077263301E-4</v>
      </c>
      <c r="C5" s="433" t="s">
        <v>210</v>
      </c>
      <c r="D5" s="418">
        <f>SUM(D6:D11)</f>
        <v>7.6360988721241372E-4</v>
      </c>
      <c r="E5" s="418">
        <f>SUM(E6:E11)</f>
        <v>6.6591757872277253E-4</v>
      </c>
      <c r="F5" s="431" t="s">
        <v>210</v>
      </c>
      <c r="G5" s="418">
        <f>SUM(G6:G11)</f>
        <v>0.32338282517564543</v>
      </c>
      <c r="H5" s="418">
        <f>SUM(H6:H11)</f>
        <v>6.8003054052297271E-2</v>
      </c>
      <c r="I5" s="433" t="s">
        <v>210</v>
      </c>
      <c r="J5" s="433" t="s">
        <v>210</v>
      </c>
      <c r="K5" s="433" t="s">
        <v>210</v>
      </c>
      <c r="L5" s="433" t="s">
        <v>210</v>
      </c>
      <c r="M5" s="418">
        <f>SUM(M6:M11)</f>
        <v>2.3142859225561887E-2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4.0071819703938979E-4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6.7645128065911368E-4</v>
      </c>
      <c r="E6" s="884">
        <f>vkm_GW_PW*SUMIFS(TableVerdeelsleutelVkm[LPG],TableVerdeelsleutelVkm[Voertuigtype],"Lichte voertuigen")*SUMIFS(TableECFTransport[EnergieConsumptieFactor (PJ per km)],TableECFTransport[Index],CONCATENATE($A6,"_LPG_LPG"))</f>
        <v>5.9275560774576597E-4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0.18516533952896391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6.0339568851766084E-2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1.4668388854646747E-2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3.0360510528954722E-6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0.11587757857741776</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1.6107354894937308E-6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6.6794594073825899E-3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4.0435677406361095E-5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8.7158606553300013E-5</v>
      </c>
      <c r="E8" s="421">
        <f>vkm_NGW_PW*SUMIFS(TableVerdeelsleutelVkm[LPG],TableVerdeelsleutelVkm[Voertuigtype],"Lichte voertuigen")*SUMIFS(TableECFTransport[EnergieConsumptieFactor (PJ per km)],TableECFTransport[Index],CONCATENATE($A8,"_LPG_LPG"))</f>
        <v>7.3161970977006561E-5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2.1115429375041499E-2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7.6618584844098583E-3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1.7244292239514279E-3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2.4955273986672647E-8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1.2244776942222091E-3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1.5980631828592812E-8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7.0581739581120529E-5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123.3930224368425</v>
      </c>
      <c r="C14" s="21"/>
      <c r="D14" s="21">
        <f t="shared" ref="D14:M14" si="0">((D5)*10^9/3600)+D12</f>
        <v>212.1138575590038</v>
      </c>
      <c r="E14" s="21">
        <f t="shared" si="0"/>
        <v>184.97710520077015</v>
      </c>
      <c r="F14" s="21"/>
      <c r="G14" s="21">
        <f t="shared" si="0"/>
        <v>89828.562548790389</v>
      </c>
      <c r="H14" s="21">
        <f t="shared" si="0"/>
        <v>18889.737236749239</v>
      </c>
      <c r="I14" s="21"/>
      <c r="J14" s="21"/>
      <c r="K14" s="21"/>
      <c r="L14" s="21"/>
      <c r="M14" s="21">
        <f t="shared" si="0"/>
        <v>6428.5720071005244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0.17909857887354563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22.099514961350021</v>
      </c>
      <c r="C18" s="23"/>
      <c r="D18" s="23">
        <f t="shared" ref="D18:M18" si="1">D14*D16</f>
        <v>42.846999226918768</v>
      </c>
      <c r="E18" s="23">
        <f t="shared" si="1"/>
        <v>41.989802880574828</v>
      </c>
      <c r="F18" s="23"/>
      <c r="G18" s="23">
        <f t="shared" si="1"/>
        <v>23984.226200527035</v>
      </c>
      <c r="H18" s="23">
        <f t="shared" si="1"/>
        <v>4703.5445719505606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9.545755883197568E-5</v>
      </c>
      <c r="C50" s="315">
        <f t="shared" ref="C50:P50" si="2">SUM(C51:C52)</f>
        <v>0</v>
      </c>
      <c r="D50" s="315">
        <f t="shared" si="2"/>
        <v>0</v>
      </c>
      <c r="E50" s="315">
        <f t="shared" si="2"/>
        <v>0</v>
      </c>
      <c r="F50" s="315">
        <f t="shared" si="2"/>
        <v>0</v>
      </c>
      <c r="G50" s="315">
        <f t="shared" si="2"/>
        <v>6.916043908608685E-3</v>
      </c>
      <c r="H50" s="315">
        <f t="shared" si="2"/>
        <v>0</v>
      </c>
      <c r="I50" s="315">
        <f t="shared" si="2"/>
        <v>0</v>
      </c>
      <c r="J50" s="315">
        <f t="shared" si="2"/>
        <v>0</v>
      </c>
      <c r="K50" s="315">
        <f t="shared" si="2"/>
        <v>0</v>
      </c>
      <c r="L50" s="315">
        <f t="shared" si="2"/>
        <v>0</v>
      </c>
      <c r="M50" s="315">
        <f t="shared" si="2"/>
        <v>3.9119203945691013E-4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9.545755883197568E-5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6.916043908608685E-3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3.9119203945691013E-4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26.515988564437688</v>
      </c>
      <c r="C54" s="21">
        <f t="shared" ref="C54:P54" si="3">(C50)*10^9/3600</f>
        <v>0</v>
      </c>
      <c r="D54" s="21">
        <f t="shared" si="3"/>
        <v>0</v>
      </c>
      <c r="E54" s="21">
        <f t="shared" si="3"/>
        <v>0</v>
      </c>
      <c r="F54" s="21">
        <f t="shared" si="3"/>
        <v>0</v>
      </c>
      <c r="G54" s="21">
        <f t="shared" si="3"/>
        <v>1921.123307946857</v>
      </c>
      <c r="H54" s="21">
        <f t="shared" si="3"/>
        <v>0</v>
      </c>
      <c r="I54" s="21">
        <f t="shared" si="3"/>
        <v>0</v>
      </c>
      <c r="J54" s="21">
        <f t="shared" si="3"/>
        <v>0</v>
      </c>
      <c r="K54" s="21">
        <f t="shared" si="3"/>
        <v>0</v>
      </c>
      <c r="L54" s="21">
        <f t="shared" si="3"/>
        <v>0</v>
      </c>
      <c r="M54" s="21">
        <f t="shared" si="3"/>
        <v>108.66445540469725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0.17909857887354563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4.7489758693179773</v>
      </c>
      <c r="C58" s="23">
        <f t="shared" ref="C58:P58" ca="1" si="4">C54*C56</f>
        <v>0</v>
      </c>
      <c r="D58" s="23">
        <f t="shared" si="4"/>
        <v>0</v>
      </c>
      <c r="E58" s="23">
        <f t="shared" si="4"/>
        <v>0</v>
      </c>
      <c r="F58" s="23">
        <f t="shared" si="4"/>
        <v>0</v>
      </c>
      <c r="G58" s="23">
        <f t="shared" si="4"/>
        <v>512.93992322181089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6653.8970552716873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90</v>
      </c>
      <c r="C8" s="543">
        <f>B48</f>
        <v>105.88235294117648</v>
      </c>
      <c r="D8" s="544"/>
      <c r="E8" s="544">
        <f>E48</f>
        <v>0</v>
      </c>
      <c r="F8" s="545"/>
      <c r="G8" s="546"/>
      <c r="H8" s="544">
        <f>I48</f>
        <v>0</v>
      </c>
      <c r="I8" s="544">
        <f>G48+F48</f>
        <v>0</v>
      </c>
      <c r="J8" s="544">
        <f>H48+D48+C48</f>
        <v>0</v>
      </c>
      <c r="K8" s="544"/>
      <c r="L8" s="544"/>
      <c r="M8" s="544"/>
      <c r="N8" s="547"/>
      <c r="O8" s="548">
        <f>C8*$C$12+D8*$D$12+E8*$E$12+F8*$F$12+G8*$G$12+H8*$H$12+I8*$I$12+J8*$J$12</f>
        <v>21.388235294117649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6743.8970552716873</v>
      </c>
      <c r="C10" s="558">
        <f t="shared" ref="C10:L10" si="0">SUM(C8:C9)</f>
        <v>105.88235294117648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21.388235294117649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128.57142857142858</v>
      </c>
      <c r="C17" s="574">
        <f>B49</f>
        <v>151.2605042016807</v>
      </c>
      <c r="D17" s="575"/>
      <c r="E17" s="575">
        <f>E49</f>
        <v>0</v>
      </c>
      <c r="F17" s="576"/>
      <c r="G17" s="577"/>
      <c r="H17" s="574">
        <f>I49</f>
        <v>0</v>
      </c>
      <c r="I17" s="575">
        <f>G49+F49</f>
        <v>0</v>
      </c>
      <c r="J17" s="575">
        <f>H49+D49+C49</f>
        <v>0</v>
      </c>
      <c r="K17" s="575"/>
      <c r="L17" s="575"/>
      <c r="M17" s="575"/>
      <c r="N17" s="966"/>
      <c r="O17" s="578">
        <f>C17*$C$22+E17*$E$22+H17*$H$22+I17*$I$22+J17*$J$22+D17*$D$22+F17*$F$22+G17*$G$22+K17*$K$22+L17*$L$22</f>
        <v>30.554621848739504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128.57142857142858</v>
      </c>
      <c r="C20" s="557">
        <f>SUM(C17:C19)</f>
        <v>151.2605042016807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30.554621848739504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72038</v>
      </c>
      <c r="C28" s="785">
        <v>3940</v>
      </c>
      <c r="D28" s="635"/>
      <c r="E28" s="634"/>
      <c r="F28" s="634" t="s">
        <v>906</v>
      </c>
      <c r="G28" s="634" t="s">
        <v>907</v>
      </c>
      <c r="H28" s="634" t="s">
        <v>908</v>
      </c>
      <c r="I28" s="634" t="s">
        <v>909</v>
      </c>
      <c r="J28" s="784">
        <v>41957</v>
      </c>
      <c r="K28" s="784">
        <v>42212</v>
      </c>
      <c r="L28" s="634" t="s">
        <v>910</v>
      </c>
      <c r="M28" s="634">
        <v>20</v>
      </c>
      <c r="N28" s="634">
        <v>90</v>
      </c>
      <c r="O28" s="634">
        <v>128.57142857142858</v>
      </c>
      <c r="P28" s="634">
        <v>257.14285714285717</v>
      </c>
      <c r="Q28" s="634">
        <v>0</v>
      </c>
      <c r="R28" s="634">
        <v>0</v>
      </c>
      <c r="S28" s="634">
        <v>0</v>
      </c>
      <c r="T28" s="634">
        <v>0</v>
      </c>
      <c r="U28" s="634">
        <v>0</v>
      </c>
      <c r="V28" s="634">
        <v>0</v>
      </c>
      <c r="W28" s="634">
        <v>0</v>
      </c>
      <c r="X28" s="634">
        <v>1500</v>
      </c>
      <c r="Y28" s="634" t="s">
        <v>50</v>
      </c>
      <c r="Z28" s="636" t="s">
        <v>155</v>
      </c>
    </row>
    <row r="29" spans="1:26" s="568" customFormat="1">
      <c r="A29" s="590" t="s">
        <v>274</v>
      </c>
      <c r="B29" s="591"/>
      <c r="C29" s="591"/>
      <c r="D29" s="591"/>
      <c r="E29" s="591"/>
      <c r="F29" s="591"/>
      <c r="G29" s="591"/>
      <c r="H29" s="591"/>
      <c r="I29" s="591"/>
      <c r="J29" s="591"/>
      <c r="K29" s="591"/>
      <c r="L29" s="592"/>
      <c r="M29" s="592">
        <f>SUM(M28:M28)</f>
        <v>20</v>
      </c>
      <c r="N29" s="592">
        <f>SUM(N28:N28)</f>
        <v>90</v>
      </c>
      <c r="O29" s="592">
        <f>SUM(O28:O28)</f>
        <v>128.57142857142858</v>
      </c>
      <c r="P29" s="592">
        <f>SUM(P28:P28)</f>
        <v>257.14285714285717</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20</v>
      </c>
      <c r="N31" s="592">
        <f ca="1">SUMIF($Z$28:AD28,"tertiair",N28:N28)</f>
        <v>90</v>
      </c>
      <c r="O31" s="592">
        <f ca="1">SUMIF($Z$28:AE28,"tertiair",O28:O28)</f>
        <v>128.57142857142858</v>
      </c>
      <c r="P31" s="592">
        <f ca="1">SUMIF($Z$28:AF28,"tertiair",P28:P28)</f>
        <v>257.14285714285717</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105.88235294117648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151.2605042016807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2021-06-29T15:33:42Z</dcterms:modified>
</cp:coreProperties>
</file>