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D16" i="16"/>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B76" i="14"/>
  <c r="B8" i="59" s="1"/>
  <c r="B10" i="59" s="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22" i="59" l="1"/>
  <c r="C29" i="20"/>
  <c r="C17" i="19"/>
  <c r="C19" i="19" s="1"/>
  <c r="D39" i="14" s="1"/>
  <c r="C56" i="22"/>
  <c r="C58" i="22" s="1"/>
  <c r="D49" i="14" s="1"/>
  <c r="D52" i="14" s="1"/>
  <c r="C10" i="17"/>
  <c r="C12" i="17" s="1"/>
  <c r="D54" i="14" s="1"/>
  <c r="D56" i="14" s="1"/>
  <c r="C18" i="15"/>
  <c r="C20" i="15" s="1"/>
  <c r="D40" i="14" s="1"/>
  <c r="C10" i="13"/>
  <c r="C12" i="13" s="1"/>
  <c r="D41" i="14" s="1"/>
  <c r="D46" i="14" s="1"/>
  <c r="D61" i="14" s="1"/>
  <c r="D63" i="14" s="1"/>
  <c r="C16" i="22"/>
  <c r="C20" i="16"/>
  <c r="C22" i="16" s="1"/>
  <c r="D43" i="14" s="1"/>
  <c r="C17" i="4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<sst xmlns="http://schemas.openxmlformats.org/spreadsheetml/2006/main" count="2509" uniqueCount="921">
  <si>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</si>
  <si>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</si>
  <si>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</si>
  <si>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</si>
  <si>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</si>
  <si>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</si>
  <si>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</si>
  <si>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</si>
  <si>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</si>
  <si>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</si>
  <si>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</si>
  <si>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</si>
  <si>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</si>
  <si>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</si>
  <si>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</si>
  <si>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</si>
  <si>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</si>
  <si>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</si>
  <si>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</si>
  <si>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</si>
  <si>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</si>
  <si>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</si>
  <si>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</si>
  <si>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</si>
  <si>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</si>
  <si>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</si>
  <si>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</si>
  <si>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</si>
  <si>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</si>
  <si>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</si>
  <si>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</si>
  <si>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</si>
  <si>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</si>
  <si>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</si>
  <si>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</si>
  <si>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</si>
  <si>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</si>
  <si>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</si>
  <si>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</si>
  <si>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</si>
  <si>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</si>
  <si>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</si>
  <si>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</si>
  <si>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</si>
  <si>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</si>
  <si>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</si>
  <si>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</si>
  <si>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</si>
  <si>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</si>
  <si>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</si>
  <si>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</si>
  <si>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</si>
  <si>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</si>
  <si>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</si>
  <si>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</si>
  <si>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</si>
  <si>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</si>
  <si>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</si>
  <si>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</si>
  <si>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</si>
  <si>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</si>
  <si>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</si>
  <si>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</si>
  <si>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</si>
  <si>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</si>
  <si>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</si>
  <si>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</si>
  <si>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</si>
  <si>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</si>
  <si>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</si>
  <si>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</si>
  <si>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</si>
  <si>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</si>
  <si>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</si>
  <si>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</si>
  <si>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</si>
  <si>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</si>
  <si>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</si>
  <si>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</si>
  <si>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</si>
  <si>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</si>
  <si>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</si>
  <si>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</si>
  <si>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</si>
  <si>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</si>
  <si>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</si>
  <si>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</si>
  <si>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</si>
  <si>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</si>
  <si>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</si>
  <si>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</si>
  <si>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</si>
  <si>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</si>
  <si>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</si>
  <si>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</si>
  <si>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</si>
  <si>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</si>
  <si>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</si>
  <si>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</si>
  <si>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</si>
  <si>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</si>
  <si>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</si>
  <si>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</si>
  <si>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</si>
  <si>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</si>
  <si>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</si>
  <si>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</si>
  <si>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</si>
  <si>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</si>
  <si>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</si>
  <si>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</si>
  <si>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</si>
  <si>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</si>
  <si>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</si>
  <si>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</si>
  <si>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</si>
  <si>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</si>
  <si>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</si>
  <si>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</si>
  <si>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</si>
  <si>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</si>
  <si>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</si>
  <si>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</si>
  <si>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</si>
  <si>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</si>
  <si>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</si>
  <si>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</si>
  <si>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</si>
  <si>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</si>
  <si>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</si>
  <si>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</si>
  <si>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</si>
  <si>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</si>
  <si>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</si>
  <si>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</si>
  <si>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</si>
  <si>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</si>
  <si>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</si>
  <si>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</si>
  <si>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</si>
  <si>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</si>
  <si>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</si>
  <si>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</si>
  <si>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</si>
  <si>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</si>
  <si>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</si>
  <si>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</si>
  <si>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</si>
  <si>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</si>
  <si>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</si>
  <si>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</si>
  <si>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</si>
  <si>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</si>
  <si>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</si>
  <si>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</si>
  <si>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</si>
  <si>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</si>
  <si>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</si>
  <si>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</si>
  <si>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</si>
  <si>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</si>
  <si>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</si>
  <si>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</si>
  <si>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</si>
  <si>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</si>
  <si>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</si>
  <si>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</si>
  <si>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</si>
  <si>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</si>
  <si>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</si>
  <si>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</si>
  <si>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</si>
  <si>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</si>
  <si>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</si>
  <si>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</si>
  <si>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</si>
  <si>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</si>
  <si>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</si>
  <si>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</si>
  <si>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</si>
  <si>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</si>
  <si>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</si>
  <si>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</si>
  <si>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</si>
  <si>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</si>
  <si>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</si>
  <si>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</si>
  <si>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</si>
  <si>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</si>
  <si>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</si>
  <si>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</si>
  <si>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</si>
  <si>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</si>
  <si>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</si>
  <si>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</si>
  <si>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</si>
  <si>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</si>
  <si>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</si>
  <si>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</si>
  <si>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</si>
  <si>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</si>
  <si>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</si>
  <si>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</si>
  <si>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</si>
  <si>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</si>
  <si>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</si>
  <si>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</si>
  <si>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</si>
  <si>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</si>
  <si>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</si>
  <si>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</si>
  <si>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</si>
  <si>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</si>
  <si>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</si>
  <si>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</si>
  <si>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</si>
  <si>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</si>
  <si>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</si>
  <si>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</si>
  <si>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</si>
  <si>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</si>
  <si>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</si>
  <si>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</si>
  <si>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</si>
  <si>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</si>
  <si>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</si>
  <si>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</si>
  <si>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</si>
  <si>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</si>
  <si>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</si>
  <si>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</si>
  <si>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</si>
  <si>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</si>
  <si>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</si>
  <si>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</si>
  <si>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</si>
  <si>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</si>
  <si>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</si>
  <si>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</si>
  <si>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</si>
  <si>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</si>
  <si>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</si>
  <si>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</si>
  <si>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</si>
  <si>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</si>
  <si>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</si>
  <si>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</si>
  <si>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</si>
  <si>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</si>
  <si>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</si>
  <si>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</si>
  <si>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</si>
  <si>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</si>
  <si>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</si>
  <si>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</si>
  <si>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</si>
  <si>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</si>
  <si>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</si>
  <si>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</si>
  <si>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</si>
  <si>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</si>
  <si>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</si>
  <si>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</si>
  <si>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</si>
  <si>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</si>
  <si>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</si>
  <si>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</si>
  <si>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</si>
  <si>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</si>
  <si>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</si>
  <si>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</si>
  <si>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</si>
  <si>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</si>
  <si>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</si>
  <si>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</si>
  <si>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</si>
  <si>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</si>
  <si>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</si>
  <si>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</si>
  <si>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</si>
  <si>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</si>
  <si>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</si>
  <si>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</si>
  <si>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</si>
  <si>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</si>
  <si>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</si>
  <si>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</si>
  <si>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</si>
  <si>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</si>
  <si>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</si>
  <si>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</si>
  <si>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</si>
  <si>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</si>
  <si>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</si>
  <si>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</si>
  <si>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</si>
  <si>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</si>
  <si>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</si>
  <si>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</si>
  <si>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</si>
  <si>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</si>
  <si>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</si>
  <si>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</si>
  <si>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</si>
  <si>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</si>
  <si>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</si>
  <si>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</si>
  <si>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</si>
  <si>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</si>
  <si>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</si>
  <si>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</si>
  <si>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</si>
  <si>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</si>
  <si>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</si>
  <si>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</si>
  <si>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</si>
  <si>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</si>
  <si>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</si>
  <si>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</si>
  <si>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</si>
  <si>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</si>
  <si>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</si>
  <si>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</si>
  <si>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</si>
  <si>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</si>
  <si>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</si>
  <si>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</si>
  <si>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</si>
  <si>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</si>
  <si>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</si>
  <si>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</si>
  <si>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</si>
  <si>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</si>
  <si>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</si>
  <si>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</si>
  <si>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</si>
  <si>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</si>
  <si>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</si>
  <si>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</si>
  <si>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</si>
  <si>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</si>
  <si>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</si>
  <si>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</si>
  <si>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</si>
  <si>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</si>
  <si>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</si>
  <si>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</si>
  <si>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</si>
  <si>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</si>
  <si>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</si>
  <si>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</si>
  <si>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</si>
  <si>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</si>
  <si>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</si>
  <si>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</si>
  <si>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</si>
  <si>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</si>
  <si>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</si>
  <si>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</si>
  <si>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</si>
  <si>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</si>
  <si>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</si>
  <si>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</si>
  <si>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</si>
  <si>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</si>
  <si>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</si>
  <si>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</si>
  <si>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</si>
  <si>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</si>
  <si>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</si>
  <si>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</si>
  <si>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</si>
  <si>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</si>
  <si>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</si>
  <si>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</si>
  <si>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</si>
  <si>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</si>
  <si>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</si>
  <si>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</si>
  <si>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</si>
  <si>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</si>
  <si>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</si>
  <si>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</si>
  <si>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</si>
  <si>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</si>
  <si>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</si>
  <si>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</si>
  <si>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</si>
  <si>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</si>
  <si>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</si>
  <si>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</si>
  <si>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</si>
  <si>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</si>
  <si>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</si>
  <si>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</si>
  <si>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</si>
  <si>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</si>
  <si>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</si>
  <si>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</si>
  <si>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</si>
  <si>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</si>
  <si>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</si>
  <si>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</si>
  <si>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</si>
  <si>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</si>
  <si>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</si>
  <si>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</si>
  <si>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</si>
  <si>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</si>
  <si>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</si>
  <si>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</si>
  <si>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</si>
  <si>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</si>
  <si>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</si>
  <si>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</si>
  <si>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</si>
  <si>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</si>
  <si>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</si>
  <si>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</si>
  <si>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</si>
  <si>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</si>
  <si>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</si>
  <si>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</si>
  <si>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</si>
  <si>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</si>
  <si>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</si>
  <si>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</si>
  <si>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</si>
  <si>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</si>
  <si>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</si>
  <si>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</si>
  <si>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</si>
  <si>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</si>
  <si>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</si>
  <si>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</si>
  <si>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</si>
  <si>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</si>
  <si>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</si>
  <si>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</si>
  <si>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</si>
  <si>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</si>
  <si>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</si>
  <si>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</si>
  <si>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</si>
  <si>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</si>
  <si>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</si>
  <si>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</si>
  <si>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</si>
  <si>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</si>
  <si>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</si>
  <si>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</si>
  <si>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</si>
  <si>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</si>
  <si>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</si>
  <si>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</si>
  <si>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</si>
  <si>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</si>
  <si>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</si>
  <si>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</si>
  <si>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</si>
  <si>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</si>
  <si>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</si>
  <si>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</si>
  <si>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</si>
  <si>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</si>
  <si>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</si>
  <si>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</si>
  <si>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</si>
  <si>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</si>
  <si>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</si>
  <si>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</si>
  <si>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</si>
  <si>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</si>
  <si>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</si>
  <si>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</si>
  <si>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</si>
  <si>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</si>
  <si>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</si>
  <si>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</si>
  <si>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</si>
  <si>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</si>
  <si>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</si>
  <si>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</si>
  <si>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</si>
  <si>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</si>
  <si>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</si>
  <si>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</si>
  <si>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</si>
  <si>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</si>
  <si>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</si>
  <si>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</si>
  <si>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</si>
  <si>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</si>
  <si>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</si>
  <si>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</si>
  <si>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</si>
  <si>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</si>
  <si>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</si>
  <si>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</si>
  <si>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</si>
  <si>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</si>
  <si>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</si>
  <si>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</si>
  <si>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</si>
  <si>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</si>
  <si>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</si>
  <si>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</si>
  <si>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</si>
  <si>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</si>
  <si>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</si>
  <si>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</si>
  <si>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</si>
  <si>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</si>
  <si>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</si>
  <si>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</si>
  <si>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</si>
  <si>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</si>
  <si>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</si>
  <si>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</si>
  <si>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</si>
  <si>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</si>
  <si>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</si>
  <si>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</si>
  <si>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</si>
  <si>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</si>
  <si>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</si>
  <si>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</si>
  <si>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</si>
  <si>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</si>
  <si>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</si>
  <si>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</si>
  <si>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</si>
  <si>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</si>
  <si>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</si>
  <si>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</si>
  <si>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</si>
  <si>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</si>
  <si>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</si>
  <si>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</si>
  <si>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</si>
  <si>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</si>
  <si>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</si>
  <si>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</si>
  <si>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</si>
  <si>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</si>
  <si>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</si>
  <si>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</si>
  <si>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</si>
  <si>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</si>
  <si>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</si>
  <si>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</si>
  <si>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</si>
  <si>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</si>
  <si>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</si>
  <si>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</si>
  <si>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</si>
  <si>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</si>
  <si>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</si>
  <si>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</si>
  <si>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</si>
  <si>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</si>
  <si>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</si>
  <si>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</si>
  <si>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</si>
  <si>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</si>
  <si>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</si>
  <si>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</si>
  <si>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</si>
  <si>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</si>
  <si>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</si>
  <si>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</si>
  <si>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</si>
  <si>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</si>
  <si>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</si>
  <si>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</si>
  <si>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</si>
  <si>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</si>
  <si>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</si>
  <si>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</si>
  <si>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</si>
  <si>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</si>
  <si>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</si>
  <si>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</si>
  <si>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</si>
  <si>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</si>
  <si>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</si>
  <si>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</si>
  <si>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</si>
  <si>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</si>
  <si>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</si>
  <si>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</si>
  <si>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</si>
  <si>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</si>
  <si>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</si>
  <si>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</si>
  <si>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</si>
  <si>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</si>
  <si>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</si>
  <si>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</si>
  <si>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</si>
  <si>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</si>
  <si>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</si>
  <si>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</si>
  <si>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</si>
  <si>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</si>
  <si>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</si>
  <si>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</si>
  <si>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</si>
  <si>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</si>
  <si>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</si>
  <si>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</si>
  <si>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</si>
  <si>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</si>
  <si>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</si>
  <si>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</si>
  <si>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</si>
  <si>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</si>
  <si>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</si>
  <si>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</si>
  <si>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</si>
  <si>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</si>
  <si>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</si>
  <si>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</si>
  <si>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</si>
  <si>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</si>
  <si>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</si>
  <si>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</si>
  <si>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</si>
  <si>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</si>
  <si>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</si>
  <si>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</si>
  <si>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</si>
  <si>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</si>
  <si>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</si>
  <si>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</si>
  <si>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</si>
  <si>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</si>
  <si>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</si>
  <si>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</si>
  <si>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</si>
  <si>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</si>
  <si>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</si>
  <si>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</si>
  <si>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</si>
  <si>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</si>
  <si>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</si>
  <si>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</si>
  <si>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</si>
  <si>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</si>
  <si>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</si>
  <si>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</si>
  <si>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</si>
  <si>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</si>
  <si>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</si>
  <si>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</si>
  <si>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</si>
  <si>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</si>
  <si>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</si>
  <si>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</si>
  <si>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</si>
  <si>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</si>
  <si>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</si>
  <si>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</si>
  <si>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</si>
  <si>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</si>
  <si>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</si>
  <si>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</si>
  <si>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</si>
  <si>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</si>
  <si>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</si>
  <si>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</si>
  <si>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</si>
  <si>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</si>
  <si>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</si>
  <si>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</si>
  <si>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</si>
  <si>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</si>
  <si>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</si>
  <si>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</si>
  <si>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</si>
  <si>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</si>
  <si>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</si>
  <si>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</si>
  <si>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</si>
  <si>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</si>
  <si>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</si>
  <si>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</si>
  <si>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</si>
  <si>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</si>
  <si>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</si>
  <si>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</si>
  <si>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</si>
  <si>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</si>
  <si>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</si>
  <si>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</si>
  <si>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</si>
  <si>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</si>
  <si>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</si>
  <si>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</si>
  <si>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</si>
  <si>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</si>
  <si>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</si>
  <si>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</si>
  <si>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</si>
  <si>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</si>
  <si>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</si>
  <si>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</si>
  <si>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</si>
  <si>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</si>
  <si>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</si>
  <si>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</si>
  <si>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</si>
  <si>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</si>
  <si>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</si>
  <si>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</si>
  <si>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</si>
  <si>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</si>
  <si>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</si>
  <si>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</si>
  <si>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</si>
  <si>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</si>
  <si>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</si>
  <si>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</si>
  <si>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</si>
  <si>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</si>
  <si>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</si>
  <si>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</si>
  <si>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</si>
  <si>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</si>
  <si>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</si>
  <si>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</si>
  <si>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</si>
  <si>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</si>
  <si>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</si>
  <si>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</si>
  <si>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</si>
  <si>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</si>
  <si>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</si>
  <si>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</si>
  <si>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</si>
  <si>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</si>
  <si>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</si>
  <si>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</si>
  <si>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</si>
  <si>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</si>
  <si>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</si>
  <si>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</si>
  <si>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</si>
  <si>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</si>
  <si>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</si>
  <si>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</si>
  <si>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</si>
  <si>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</si>
  <si>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</si>
  <si>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</si>
  <si>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</si>
  <si>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</si>
  <si>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</si>
  <si>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</si>
  <si>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</si>
  <si>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</si>
  <si>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</si>
  <si>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</si>
  <si>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</si>
  <si>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</si>
  <si>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</si>
  <si>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</si>
  <si>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</si>
  <si>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</si>
  <si>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</si>
  <si>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</si>
  <si>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</si>
  <si>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</si>
  <si>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</si>
  <si>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</si>
  <si>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</si>
  <si>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</si>
  <si>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</si>
  <si>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</si>
  <si>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</si>
  <si>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</si>
  <si>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</si>
  <si>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</si>
  <si>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</si>
  <si>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</si>
  <si>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</si>
  <si>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</si>
  <si>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</si>
  <si>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</si>
  <si>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</si>
  <si>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</si>
  <si>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</si>
  <si>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</si>
  <si>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</si>
  <si>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</si>
  <si>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</si>
  <si>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</si>
  <si>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</si>
  <si>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</si>
  <si>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</si>
  <si>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</si>
  <si>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</si>
  <si>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</si>
  <si>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</si>
  <si>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</si>
  <si>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</si>
  <si>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</si>
  <si>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</si>
  <si>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</si>
  <si>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</si>
  <si>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</si>
  <si>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</si>
  <si>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</si>
  <si>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</si>
  <si>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</si>
  <si>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</si>
  <si>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</si>
  <si>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</si>
  <si>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</si>
  <si>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</si>
  <si>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</si>
  <si>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</si>
  <si>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</si>
  <si>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</si>
  <si>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</si>
  <si>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</si>
  <si>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</si>
  <si>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</si>
  <si>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</si>
  <si>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</si>
  <si>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</si>
  <si>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</si>
  <si>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</si>
  <si>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</si>
  <si>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</si>
  <si>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</si>
  <si>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</si>
  <si>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</si>
  <si>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</si>
  <si>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</si>
  <si>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</si>
  <si>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</si>
  <si>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</si>
  <si>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</si>
  <si>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</si>
  <si>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</si>
  <si>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</si>
  <si>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</si>
  <si>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</si>
  <si>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</si>
  <si>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</si>
  <si>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</si>
  <si>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</si>
  <si>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</si>
  <si>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</si>
  <si>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</si>
  <si>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</si>
  <si>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</si>
  <si>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</si>
  <si>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</si>
  <si>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</si>
  <si>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</si>
  <si>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</si>
  <si>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</si>
  <si>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</si>
  <si>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</si>
  <si>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</si>
  <si>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</si>
  <si>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</si>
  <si>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</si>
  <si>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</si>
  <si>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</si>
  <si>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</si>
  <si>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</si>
  <si>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</si>
  <si>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</si>
  <si>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</si>
  <si>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</si>
  <si>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</si>
  <si>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</si>
  <si>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</si>
  <si>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</si>
  <si>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</si>
  <si>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</si>
  <si>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</si>
  <si>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</si>
  <si>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</si>
  <si>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</si>
  <si>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</si>
  <si>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</si>
  <si>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</si>
  <si>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</si>
  <si>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</si>
  <si>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</si>
  <si>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</si>
  <si>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</si>
  <si>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</si>
  <si>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</si>
  <si>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</si>
  <si>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</si>
  <si>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</si>
  <si>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</si>
  <si>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</si>
  <si>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72030</t>
  </si>
  <si>
    <t>PEER</t>
  </si>
  <si>
    <t>referentietaak LNE (2017); Jaarverslag De Lijn</t>
  </si>
  <si>
    <t>Wim Clijsters</t>
  </si>
  <si>
    <t>Knaapstraat 2 , 3990 Peer</t>
  </si>
  <si>
    <t>WKK-0499 Wim Clijsters</t>
  </si>
  <si>
    <t>interne verbrandingsmotor</t>
  </si>
  <si>
    <t>WKK interne verbrandinsgmotor (gas)</t>
  </si>
  <si>
    <t>Inter-Energa</t>
  </si>
  <si>
    <t>NPG Peer</t>
  </si>
  <si>
    <t>WKK-0537 NPG</t>
  </si>
  <si>
    <t>Biogas - hoofdzakelijk agrarische stromen</t>
  </si>
  <si>
    <t>Kaulillerweg 119, 3990 Peer, BE</t>
  </si>
  <si>
    <t>Inter-energa (via INFRAX)</t>
  </si>
  <si>
    <t>Craeghs</t>
  </si>
  <si>
    <t>WKK-0745</t>
  </si>
  <si>
    <t>Interne verbrandingsmotor</t>
  </si>
  <si>
    <t>Achelmansstraat 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</si>
</sst>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133343.73661998168</c:v>
                </c:pt>
                <c:pt idx="1">
                  <c:v>84712.235622053136</c:v>
                </c:pt>
                <c:pt idx="2">
                  <c:v>1173.1569999999999</c:v>
                </c:pt>
                <c:pt idx="3">
                  <c:v>18527.308471950637</c:v>
                </c:pt>
                <c:pt idx="4">
                  <c:v>35580.877740254276</c:v>
                </c:pt>
                <c:pt idx="5">
                  <c:v>110156.26365574676</c:v>
                </c:pt>
                <c:pt idx="6">
                  <c:v>2553.2377126101933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133343.73661998168</c:v>
                </c:pt>
                <c:pt idx="1">
                  <c:v>84712.235622053136</c:v>
                </c:pt>
                <c:pt idx="2">
                  <c:v>1173.1569999999999</c:v>
                </c:pt>
                <c:pt idx="3">
                  <c:v>18527.308471950637</c:v>
                </c:pt>
                <c:pt idx="4">
                  <c:v>35580.877740254276</c:v>
                </c:pt>
                <c:pt idx="5">
                  <c:v>110156.26365574676</c:v>
                </c:pt>
                <c:pt idx="6">
                  <c:v>2553.2377126101933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26724.715677228392</c:v>
                </c:pt>
                <c:pt idx="1">
                  <c:v>15523.031523134114</c:v>
                </c:pt>
                <c:pt idx="2">
                  <c:v>193.519543608091</c:v>
                </c:pt>
                <c:pt idx="3">
                  <c:v>4605.711853947505</c:v>
                </c:pt>
                <c:pt idx="4">
                  <c:v>3689.6625205697601</c:v>
                </c:pt>
                <c:pt idx="5">
                  <c:v>27356.636032381575</c:v>
                </c:pt>
                <c:pt idx="6">
                  <c:v>642.32988859770376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26724.715677228392</c:v>
                </c:pt>
                <c:pt idx="1">
                  <c:v>15523.031523134114</c:v>
                </c:pt>
                <c:pt idx="2">
                  <c:v>193.519543608091</c:v>
                </c:pt>
                <c:pt idx="3">
                  <c:v>4605.711853947505</c:v>
                </c:pt>
                <c:pt idx="4">
                  <c:v>3689.6625205697601</c:v>
                </c:pt>
                <c:pt idx="5">
                  <c:v>27356.636032381575</c:v>
                </c:pt>
                <c:pt idx="6">
                  <c:v>642.32988859770376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72030</v>
      </c>
      <c r="B6" s="386"/>
      <c r="C6" s="387"/>
    </row>
    <row r="7" spans="1:7" s="384" customFormat="1" ht="15.75" customHeight="1">
      <c r="A7" s="388" t="str">
        <f>txtMunicipality</f>
        <v>PEER</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37441.477111</v>
      </c>
      <c r="D10" s="681">
        <f ca="1">tertiair!C16</f>
        <v>0</v>
      </c>
      <c r="E10" s="681">
        <f ca="1">tertiair!D16</f>
        <v>41095.114916327992</v>
      </c>
      <c r="F10" s="681">
        <f>tertiair!E16</f>
        <v>461.64454011376688</v>
      </c>
      <c r="G10" s="681">
        <f ca="1">tertiair!F16</f>
        <v>4248.3848188414531</v>
      </c>
      <c r="H10" s="681">
        <f>tertiair!G16</f>
        <v>0</v>
      </c>
      <c r="I10" s="681">
        <f>tertiair!H16</f>
        <v>0</v>
      </c>
      <c r="J10" s="681">
        <f>tertiair!I16</f>
        <v>0</v>
      </c>
      <c r="K10" s="681">
        <f>tertiair!J16</f>
        <v>6.0111360623684981E-2</v>
      </c>
      <c r="L10" s="681">
        <f>tertiair!K16</f>
        <v>0</v>
      </c>
      <c r="M10" s="681">
        <f ca="1">tertiair!L16</f>
        <v>0</v>
      </c>
      <c r="N10" s="681">
        <f>tertiair!M16</f>
        <v>0</v>
      </c>
      <c r="O10" s="681">
        <f ca="1">tertiair!N16</f>
        <v>2366.2209113451418</v>
      </c>
      <c r="P10" s="681">
        <f>tertiair!O16</f>
        <v>9.7945215316823084</v>
      </c>
      <c r="Q10" s="682">
        <f>tertiair!P16</f>
        <v>262.69569153247511</v>
      </c>
      <c r="R10" s="684">
        <f ca="1">SUM(C10:Q10)</f>
        <v>85885.392622053128</v>
      </c>
      <c r="S10" s="67"/>
    </row>
    <row r="11" spans="1:19" s="444" customFormat="1">
      <c r="A11" s="802" t="s">
        <v>219</v>
      </c>
      <c r="B11" s="807"/>
      <c r="C11" s="681">
        <f>huishoudens!B8</f>
        <v>28749.675237613061</v>
      </c>
      <c r="D11" s="681">
        <f>huishoudens!C8</f>
        <v>0</v>
      </c>
      <c r="E11" s="681">
        <f>huishoudens!D8</f>
        <v>41873.752828600002</v>
      </c>
      <c r="F11" s="681">
        <f>huishoudens!E8</f>
        <v>2969.5215559323419</v>
      </c>
      <c r="G11" s="681">
        <f>huishoudens!F8</f>
        <v>47872.645278770142</v>
      </c>
      <c r="H11" s="681">
        <f>huishoudens!G8</f>
        <v>0</v>
      </c>
      <c r="I11" s="681">
        <f>huishoudens!H8</f>
        <v>0</v>
      </c>
      <c r="J11" s="681">
        <f>huishoudens!I8</f>
        <v>0</v>
      </c>
      <c r="K11" s="681">
        <f>huishoudens!J8</f>
        <v>191.24910727198187</v>
      </c>
      <c r="L11" s="681">
        <f>huishoudens!K8</f>
        <v>0</v>
      </c>
      <c r="M11" s="681">
        <f>huishoudens!L8</f>
        <v>0</v>
      </c>
      <c r="N11" s="681">
        <f>huishoudens!M8</f>
        <v>0</v>
      </c>
      <c r="O11" s="681">
        <f>huishoudens!N8</f>
        <v>9652.8518983004305</v>
      </c>
      <c r="P11" s="681">
        <f>huishoudens!O8</f>
        <v>664.62600349465561</v>
      </c>
      <c r="Q11" s="682">
        <f>huishoudens!P8</f>
        <v>1369.4147099990528</v>
      </c>
      <c r="R11" s="684">
        <f>SUM(C11:Q11)</f>
        <v>133343.73661998168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15470.861815</v>
      </c>
      <c r="D13" s="681">
        <f>industrie!C18</f>
        <v>15287.142857142857</v>
      </c>
      <c r="E13" s="681">
        <f>industrie!D18</f>
        <v>2210.3912292000005</v>
      </c>
      <c r="F13" s="681">
        <f>industrie!E18</f>
        <v>589.23040232280368</v>
      </c>
      <c r="G13" s="681">
        <f>industrie!F18</f>
        <v>1825.720633618384</v>
      </c>
      <c r="H13" s="681">
        <f>industrie!G18</f>
        <v>0</v>
      </c>
      <c r="I13" s="681">
        <f>industrie!H18</f>
        <v>0</v>
      </c>
      <c r="J13" s="681">
        <f>industrie!I18</f>
        <v>0</v>
      </c>
      <c r="K13" s="681">
        <f>industrie!J18</f>
        <v>197.53080297022538</v>
      </c>
      <c r="L13" s="681">
        <f>industrie!K18</f>
        <v>0</v>
      </c>
      <c r="M13" s="681">
        <f>industrie!L18</f>
        <v>0</v>
      </c>
      <c r="N13" s="681">
        <f>industrie!M18</f>
        <v>0</v>
      </c>
      <c r="O13" s="681">
        <f>industrie!N18</f>
        <v>0</v>
      </c>
      <c r="P13" s="681">
        <f>industrie!O18</f>
        <v>0</v>
      </c>
      <c r="Q13" s="682">
        <f>industrie!P18</f>
        <v>0</v>
      </c>
      <c r="R13" s="684">
        <f>SUM(C13:Q13)</f>
        <v>35580.877740254276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81662.014163613057</v>
      </c>
      <c r="D16" s="717">
        <f t="shared" ref="D16:R16" ca="1" si="0">SUM(D9:D15)</f>
        <v>15287.142857142857</v>
      </c>
      <c r="E16" s="717">
        <f t="shared" ca="1" si="0"/>
        <v>85179.258974127995</v>
      </c>
      <c r="F16" s="717">
        <f t="shared" si="0"/>
        <v>4020.396498368912</v>
      </c>
      <c r="G16" s="717">
        <f t="shared" ca="1" si="0"/>
        <v>53946.750731229979</v>
      </c>
      <c r="H16" s="717">
        <f t="shared" si="0"/>
        <v>0</v>
      </c>
      <c r="I16" s="717">
        <f t="shared" si="0"/>
        <v>0</v>
      </c>
      <c r="J16" s="717">
        <f t="shared" si="0"/>
        <v>0</v>
      </c>
      <c r="K16" s="717">
        <f t="shared" si="0"/>
        <v>388.84002160283092</v>
      </c>
      <c r="L16" s="717">
        <f t="shared" si="0"/>
        <v>0</v>
      </c>
      <c r="M16" s="717">
        <f t="shared" ca="1" si="0"/>
        <v>0</v>
      </c>
      <c r="N16" s="717">
        <f t="shared" si="0"/>
        <v>0</v>
      </c>
      <c r="O16" s="717">
        <f t="shared" ca="1" si="0"/>
        <v>12019.072809645571</v>
      </c>
      <c r="P16" s="717">
        <f t="shared" si="0"/>
        <v>674.42052502633794</v>
      </c>
      <c r="Q16" s="717">
        <f t="shared" si="0"/>
        <v>1632.1104015315279</v>
      </c>
      <c r="R16" s="717">
        <f t="shared" ca="1" si="0"/>
        <v>254810.00698228908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32.923940311240933</v>
      </c>
      <c r="D19" s="681">
        <f>transport!C54</f>
        <v>0</v>
      </c>
      <c r="E19" s="681">
        <f>transport!D54</f>
        <v>0</v>
      </c>
      <c r="F19" s="681">
        <f>transport!E54</f>
        <v>0</v>
      </c>
      <c r="G19" s="681">
        <f>transport!F54</f>
        <v>0</v>
      </c>
      <c r="H19" s="681">
        <f>transport!G54</f>
        <v>2385.3890631935942</v>
      </c>
      <c r="I19" s="681">
        <f>transport!H54</f>
        <v>0</v>
      </c>
      <c r="J19" s="681">
        <f>transport!I54</f>
        <v>0</v>
      </c>
      <c r="K19" s="681">
        <f>transport!J54</f>
        <v>0</v>
      </c>
      <c r="L19" s="681">
        <f>transport!K54</f>
        <v>0</v>
      </c>
      <c r="M19" s="681">
        <f>transport!L54</f>
        <v>0</v>
      </c>
      <c r="N19" s="681">
        <f>transport!M54</f>
        <v>134.92470910535806</v>
      </c>
      <c r="O19" s="681">
        <f>transport!N54</f>
        <v>0</v>
      </c>
      <c r="P19" s="681">
        <f>transport!O54</f>
        <v>0</v>
      </c>
      <c r="Q19" s="682">
        <f>transport!P54</f>
        <v>0</v>
      </c>
      <c r="R19" s="684">
        <f>SUM(C19:Q19)</f>
        <v>2553.2377126101933</v>
      </c>
      <c r="S19" s="67"/>
    </row>
    <row r="20" spans="1:19" s="444" customFormat="1">
      <c r="A20" s="802" t="s">
        <v>301</v>
      </c>
      <c r="B20" s="807"/>
      <c r="C20" s="681">
        <f>transport!B14</f>
        <v>127.45611828591412</v>
      </c>
      <c r="D20" s="681">
        <f>transport!C14</f>
        <v>0</v>
      </c>
      <c r="E20" s="681">
        <f>transport!D14</f>
        <v>237.18034083066669</v>
      </c>
      <c r="F20" s="681">
        <f>transport!E14</f>
        <v>203.93853446955444</v>
      </c>
      <c r="G20" s="681">
        <f>transport!F14</f>
        <v>0</v>
      </c>
      <c r="H20" s="681">
        <f>transport!G14</f>
        <v>82424.691242039902</v>
      </c>
      <c r="I20" s="681">
        <f>transport!H14</f>
        <v>21020.137811883786</v>
      </c>
      <c r="J20" s="681">
        <f>transport!I14</f>
        <v>0</v>
      </c>
      <c r="K20" s="681">
        <f>transport!J14</f>
        <v>0</v>
      </c>
      <c r="L20" s="681">
        <f>transport!K14</f>
        <v>0</v>
      </c>
      <c r="M20" s="681">
        <f>transport!L14</f>
        <v>0</v>
      </c>
      <c r="N20" s="681">
        <f>transport!M14</f>
        <v>6142.8596082369349</v>
      </c>
      <c r="O20" s="681">
        <f>transport!N14</f>
        <v>0</v>
      </c>
      <c r="P20" s="681">
        <f>transport!O14</f>
        <v>0</v>
      </c>
      <c r="Q20" s="682">
        <f>transport!P14</f>
        <v>0</v>
      </c>
      <c r="R20" s="684">
        <f>SUM(C20:Q20)</f>
        <v>110156.26365574676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160.38005859715506</v>
      </c>
      <c r="D22" s="805">
        <f t="shared" ref="D22:R22" si="1">SUM(D18:D21)</f>
        <v>0</v>
      </c>
      <c r="E22" s="805">
        <f t="shared" si="1"/>
        <v>237.18034083066669</v>
      </c>
      <c r="F22" s="805">
        <f t="shared" si="1"/>
        <v>203.93853446955444</v>
      </c>
      <c r="G22" s="805">
        <f t="shared" si="1"/>
        <v>0</v>
      </c>
      <c r="H22" s="805">
        <f t="shared" si="1"/>
        <v>84810.080305233496</v>
      </c>
      <c r="I22" s="805">
        <f t="shared" si="1"/>
        <v>21020.137811883786</v>
      </c>
      <c r="J22" s="805">
        <f t="shared" si="1"/>
        <v>0</v>
      </c>
      <c r="K22" s="805">
        <f t="shared" si="1"/>
        <v>0</v>
      </c>
      <c r="L22" s="805">
        <f t="shared" si="1"/>
        <v>0</v>
      </c>
      <c r="M22" s="805">
        <f t="shared" si="1"/>
        <v>0</v>
      </c>
      <c r="N22" s="805">
        <f t="shared" si="1"/>
        <v>6277.7843173422934</v>
      </c>
      <c r="O22" s="805">
        <f t="shared" si="1"/>
        <v>0</v>
      </c>
      <c r="P22" s="805">
        <f t="shared" si="1"/>
        <v>0</v>
      </c>
      <c r="Q22" s="805">
        <f t="shared" si="1"/>
        <v>0</v>
      </c>
      <c r="R22" s="805">
        <f t="shared" si="1"/>
        <v>112709.50136835696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3775.0610879999999</v>
      </c>
      <c r="D24" s="681">
        <f>+landbouw!C8</f>
        <v>124.71428571428569</v>
      </c>
      <c r="E24" s="681">
        <f>+landbouw!D8</f>
        <v>128.17510200000001</v>
      </c>
      <c r="F24" s="681">
        <f>+landbouw!E8</f>
        <v>117.81841169490912</v>
      </c>
      <c r="G24" s="681">
        <f>+landbouw!F8</f>
        <v>13341.484074978234</v>
      </c>
      <c r="H24" s="681">
        <f>+landbouw!G8</f>
        <v>0</v>
      </c>
      <c r="I24" s="681">
        <f>+landbouw!H8</f>
        <v>0</v>
      </c>
      <c r="J24" s="681">
        <f>+landbouw!I8</f>
        <v>0</v>
      </c>
      <c r="K24" s="681">
        <f>+landbouw!J8</f>
        <v>1040.0555095632069</v>
      </c>
      <c r="L24" s="681">
        <f>+landbouw!K8</f>
        <v>0</v>
      </c>
      <c r="M24" s="681">
        <f>+landbouw!L8</f>
        <v>0</v>
      </c>
      <c r="N24" s="681">
        <f>+landbouw!M8</f>
        <v>0</v>
      </c>
      <c r="O24" s="681">
        <f>+landbouw!N8</f>
        <v>0</v>
      </c>
      <c r="P24" s="681">
        <f>+landbouw!O8</f>
        <v>0</v>
      </c>
      <c r="Q24" s="682">
        <f>+landbouw!P8</f>
        <v>0</v>
      </c>
      <c r="R24" s="684">
        <f>SUM(C24:Q24)</f>
        <v>18527.308471950637</v>
      </c>
      <c r="S24" s="67"/>
    </row>
    <row r="25" spans="1:19" s="444" customFormat="1" ht="15" thickBot="1">
      <c r="A25" s="824" t="s">
        <v>714</v>
      </c>
      <c r="B25" s="943"/>
      <c r="C25" s="944">
        <f>IF(Onbekend_ele_kWh="---",0,Onbekend_ele_kWh)/1000+IF(REST_rest_ele_kWh="---",0,REST_rest_ele_kWh)/1000</f>
        <v>378.08445</v>
      </c>
      <c r="D25" s="944"/>
      <c r="E25" s="944">
        <f>IF(onbekend_gas_kWh="---",0,onbekend_gas_kWh)/1000+IF(REST_rest_gas_kWh="---",0,REST_rest_gas_kWh)/1000</f>
        <v>1223.7948000000001</v>
      </c>
      <c r="F25" s="944"/>
      <c r="G25" s="944"/>
      <c r="H25" s="944"/>
      <c r="I25" s="944"/>
      <c r="J25" s="944"/>
      <c r="K25" s="944"/>
      <c r="L25" s="944"/>
      <c r="M25" s="944"/>
      <c r="N25" s="944"/>
      <c r="O25" s="944"/>
      <c r="P25" s="944"/>
      <c r="Q25" s="945"/>
      <c r="R25" s="684">
        <f>SUM(C25:Q25)</f>
        <v>1601.8792500000002</v>
      </c>
      <c r="S25" s="67"/>
    </row>
    <row r="26" spans="1:19" s="444" customFormat="1" ht="15.75" thickBot="1">
      <c r="A26" s="689" t="s">
        <v>715</v>
      </c>
      <c r="B26" s="810"/>
      <c r="C26" s="805">
        <f>SUM(C24:C25)</f>
        <v>4153.1455379999998</v>
      </c>
      <c r="D26" s="805">
        <f t="shared" ref="D26:R26" si="2">SUM(D24:D25)</f>
        <v>124.71428571428569</v>
      </c>
      <c r="E26" s="805">
        <f t="shared" si="2"/>
        <v>1351.969902</v>
      </c>
      <c r="F26" s="805">
        <f t="shared" si="2"/>
        <v>117.81841169490912</v>
      </c>
      <c r="G26" s="805">
        <f t="shared" si="2"/>
        <v>13341.484074978234</v>
      </c>
      <c r="H26" s="805">
        <f t="shared" si="2"/>
        <v>0</v>
      </c>
      <c r="I26" s="805">
        <f t="shared" si="2"/>
        <v>0</v>
      </c>
      <c r="J26" s="805">
        <f t="shared" si="2"/>
        <v>0</v>
      </c>
      <c r="K26" s="805">
        <f t="shared" si="2"/>
        <v>1040.0555095632069</v>
      </c>
      <c r="L26" s="805">
        <f t="shared" si="2"/>
        <v>0</v>
      </c>
      <c r="M26" s="805">
        <f t="shared" si="2"/>
        <v>0</v>
      </c>
      <c r="N26" s="805">
        <f t="shared" si="2"/>
        <v>0</v>
      </c>
      <c r="O26" s="805">
        <f t="shared" si="2"/>
        <v>0</v>
      </c>
      <c r="P26" s="805">
        <f t="shared" si="2"/>
        <v>0</v>
      </c>
      <c r="Q26" s="805">
        <f t="shared" si="2"/>
        <v>0</v>
      </c>
      <c r="R26" s="805">
        <f t="shared" si="2"/>
        <v>20129.187721950639</v>
      </c>
      <c r="S26" s="67"/>
    </row>
    <row r="27" spans="1:19" s="444" customFormat="1" ht="17.25" thickTop="1" thickBot="1">
      <c r="A27" s="690" t="s">
        <v>115</v>
      </c>
      <c r="B27" s="797"/>
      <c r="C27" s="691">
        <f ca="1">C22+C16+C26</f>
        <v>85975.539760210217</v>
      </c>
      <c r="D27" s="691">
        <f t="shared" ref="D27:R27" ca="1" si="3">D22+D16+D26</f>
        <v>15411.857142857143</v>
      </c>
      <c r="E27" s="691">
        <f t="shared" ca="1" si="3"/>
        <v>86768.409216958666</v>
      </c>
      <c r="F27" s="691">
        <f t="shared" si="3"/>
        <v>4342.1534445333755</v>
      </c>
      <c r="G27" s="691">
        <f t="shared" ca="1" si="3"/>
        <v>67288.234806208216</v>
      </c>
      <c r="H27" s="691">
        <f t="shared" si="3"/>
        <v>84810.080305233496</v>
      </c>
      <c r="I27" s="691">
        <f t="shared" si="3"/>
        <v>21020.137811883786</v>
      </c>
      <c r="J27" s="691">
        <f t="shared" si="3"/>
        <v>0</v>
      </c>
      <c r="K27" s="691">
        <f t="shared" si="3"/>
        <v>1428.8955311660379</v>
      </c>
      <c r="L27" s="691">
        <f t="shared" si="3"/>
        <v>0</v>
      </c>
      <c r="M27" s="691">
        <f t="shared" ca="1" si="3"/>
        <v>0</v>
      </c>
      <c r="N27" s="691">
        <f t="shared" si="3"/>
        <v>6277.7843173422934</v>
      </c>
      <c r="O27" s="691">
        <f t="shared" ca="1" si="3"/>
        <v>12019.072809645571</v>
      </c>
      <c r="P27" s="691">
        <f t="shared" si="3"/>
        <v>674.42052502633794</v>
      </c>
      <c r="Q27" s="691">
        <f t="shared" si="3"/>
        <v>1632.1104015315279</v>
      </c>
      <c r="R27" s="691">
        <f t="shared" ca="1" si="3"/>
        <v>387648.69607259665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6176.2045169857965</v>
      </c>
      <c r="D40" s="681">
        <f ca="1">tertiair!C20</f>
        <v>0</v>
      </c>
      <c r="E40" s="681">
        <f ca="1">tertiair!D20</f>
        <v>8301.2132130982554</v>
      </c>
      <c r="F40" s="681">
        <f>tertiair!E20</f>
        <v>104.79331060582508</v>
      </c>
      <c r="G40" s="681">
        <f ca="1">tertiair!F20</f>
        <v>1134.3187466306681</v>
      </c>
      <c r="H40" s="681">
        <f>tertiair!G20</f>
        <v>0</v>
      </c>
      <c r="I40" s="681">
        <f>tertiair!H20</f>
        <v>0</v>
      </c>
      <c r="J40" s="681">
        <f>tertiair!I20</f>
        <v>0</v>
      </c>
      <c r="K40" s="681">
        <f>tertiair!J20</f>
        <v>2.1279421660784482E-2</v>
      </c>
      <c r="L40" s="681">
        <f>tertiair!K20</f>
        <v>0</v>
      </c>
      <c r="M40" s="681">
        <f ca="1">tertiair!L20</f>
        <v>0</v>
      </c>
      <c r="N40" s="681">
        <f>tertiair!M20</f>
        <v>0</v>
      </c>
      <c r="O40" s="681">
        <f ca="1">tertiair!N20</f>
        <v>0</v>
      </c>
      <c r="P40" s="681">
        <f>tertiair!O20</f>
        <v>0</v>
      </c>
      <c r="Q40" s="764">
        <f>tertiair!P20</f>
        <v>0</v>
      </c>
      <c r="R40" s="843">
        <f t="shared" ca="1" si="4"/>
        <v>15716.551066742206</v>
      </c>
    </row>
    <row r="41" spans="1:18">
      <c r="A41" s="815" t="s">
        <v>219</v>
      </c>
      <c r="B41" s="822"/>
      <c r="C41" s="681">
        <f ca="1">huishoudens!B12</f>
        <v>4742.4377392486385</v>
      </c>
      <c r="D41" s="681">
        <f ca="1">huishoudens!C12</f>
        <v>0</v>
      </c>
      <c r="E41" s="681">
        <f>huishoudens!D12</f>
        <v>8458.4980713772002</v>
      </c>
      <c r="F41" s="681">
        <f>huishoudens!E12</f>
        <v>674.08139319664167</v>
      </c>
      <c r="G41" s="681">
        <f>huishoudens!F12</f>
        <v>12781.996289431629</v>
      </c>
      <c r="H41" s="681">
        <f>huishoudens!G12</f>
        <v>0</v>
      </c>
      <c r="I41" s="681">
        <f>huishoudens!H12</f>
        <v>0</v>
      </c>
      <c r="J41" s="681">
        <f>huishoudens!I12</f>
        <v>0</v>
      </c>
      <c r="K41" s="681">
        <f>huishoudens!J12</f>
        <v>67.702183974281581</v>
      </c>
      <c r="L41" s="681">
        <f>huishoudens!K12</f>
        <v>0</v>
      </c>
      <c r="M41" s="681">
        <f>huishoudens!L12</f>
        <v>0</v>
      </c>
      <c r="N41" s="681">
        <f>huishoudens!M12</f>
        <v>0</v>
      </c>
      <c r="O41" s="681">
        <f>huishoudens!N12</f>
        <v>0</v>
      </c>
      <c r="P41" s="681">
        <f>huishoudens!O12</f>
        <v>0</v>
      </c>
      <c r="Q41" s="764">
        <f>huishoudens!P12</f>
        <v>0</v>
      </c>
      <c r="R41" s="843">
        <f t="shared" ca="1" si="4"/>
        <v>26724.715677228392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2552.0148775165153</v>
      </c>
      <c r="D43" s="681">
        <f ca="1">industrie!C22</f>
        <v>0</v>
      </c>
      <c r="E43" s="681">
        <f>industrie!D22</f>
        <v>446.49902829840011</v>
      </c>
      <c r="F43" s="681">
        <f>industrie!E22</f>
        <v>133.75530132727644</v>
      </c>
      <c r="G43" s="681">
        <f>industrie!F22</f>
        <v>487.46740917610856</v>
      </c>
      <c r="H43" s="681">
        <f>industrie!G22</f>
        <v>0</v>
      </c>
      <c r="I43" s="681">
        <f>industrie!H22</f>
        <v>0</v>
      </c>
      <c r="J43" s="681">
        <f>industrie!I22</f>
        <v>0</v>
      </c>
      <c r="K43" s="681">
        <f>industrie!J22</f>
        <v>69.925904251459784</v>
      </c>
      <c r="L43" s="681">
        <f>industrie!K22</f>
        <v>0</v>
      </c>
      <c r="M43" s="681">
        <f>industrie!L22</f>
        <v>0</v>
      </c>
      <c r="N43" s="681">
        <f>industrie!M22</f>
        <v>0</v>
      </c>
      <c r="O43" s="681">
        <f>industrie!N22</f>
        <v>0</v>
      </c>
      <c r="P43" s="681">
        <f>industrie!O22</f>
        <v>0</v>
      </c>
      <c r="Q43" s="764">
        <f>industrie!P22</f>
        <v>0</v>
      </c>
      <c r="R43" s="842">
        <f t="shared" ca="1" si="4"/>
        <v>3689.6625205697601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13470.657133750949</v>
      </c>
      <c r="D46" s="717">
        <f t="shared" ref="D46:Q46" ca="1" si="5">SUM(D39:D45)</f>
        <v>0</v>
      </c>
      <c r="E46" s="717">
        <f t="shared" ca="1" si="5"/>
        <v>17206.210312773856</v>
      </c>
      <c r="F46" s="717">
        <f t="shared" si="5"/>
        <v>912.63000512974327</v>
      </c>
      <c r="G46" s="717">
        <f t="shared" ca="1" si="5"/>
        <v>14403.782445238405</v>
      </c>
      <c r="H46" s="717">
        <f t="shared" si="5"/>
        <v>0</v>
      </c>
      <c r="I46" s="717">
        <f t="shared" si="5"/>
        <v>0</v>
      </c>
      <c r="J46" s="717">
        <f t="shared" si="5"/>
        <v>0</v>
      </c>
      <c r="K46" s="717">
        <f t="shared" si="5"/>
        <v>137.64936764740213</v>
      </c>
      <c r="L46" s="717">
        <f t="shared" si="5"/>
        <v>0</v>
      </c>
      <c r="M46" s="717">
        <f t="shared" ca="1" si="5"/>
        <v>0</v>
      </c>
      <c r="N46" s="717">
        <f t="shared" si="5"/>
        <v>0</v>
      </c>
      <c r="O46" s="717">
        <f t="shared" ca="1" si="5"/>
        <v>0</v>
      </c>
      <c r="P46" s="717">
        <f t="shared" si="5"/>
        <v>0</v>
      </c>
      <c r="Q46" s="717">
        <f t="shared" si="5"/>
        <v>0</v>
      </c>
      <c r="R46" s="717">
        <f ca="1">SUM(R39:R45)</f>
        <v>46130.929264540362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5.4310087250141077</v>
      </c>
      <c r="D49" s="681">
        <f ca="1">transport!C58</f>
        <v>0</v>
      </c>
      <c r="E49" s="681">
        <f>transport!D58</f>
        <v>0</v>
      </c>
      <c r="F49" s="681">
        <f>transport!E58</f>
        <v>0</v>
      </c>
      <c r="G49" s="681">
        <f>transport!F58</f>
        <v>0</v>
      </c>
      <c r="H49" s="681">
        <f>transport!G58</f>
        <v>636.89887987268969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642.32988859770376</v>
      </c>
    </row>
    <row r="50" spans="1:18">
      <c r="A50" s="818" t="s">
        <v>301</v>
      </c>
      <c r="B50" s="828"/>
      <c r="C50" s="687">
        <f ca="1">transport!B18</f>
        <v>21.024679425472431</v>
      </c>
      <c r="D50" s="687">
        <f>transport!C18</f>
        <v>0</v>
      </c>
      <c r="E50" s="687">
        <f>transport!D18</f>
        <v>47.910428847794677</v>
      </c>
      <c r="F50" s="687">
        <f>transport!E18</f>
        <v>46.29404732458886</v>
      </c>
      <c r="G50" s="687">
        <f>transport!F18</f>
        <v>0</v>
      </c>
      <c r="H50" s="687">
        <f>transport!G18</f>
        <v>22007.392561624656</v>
      </c>
      <c r="I50" s="687">
        <f>transport!H18</f>
        <v>5234.0143151590628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27356.636032381575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26.455688150486537</v>
      </c>
      <c r="D52" s="717">
        <f t="shared" ref="D52:Q52" ca="1" si="6">SUM(D48:D51)</f>
        <v>0</v>
      </c>
      <c r="E52" s="717">
        <f t="shared" si="6"/>
        <v>47.910428847794677</v>
      </c>
      <c r="F52" s="717">
        <f t="shared" si="6"/>
        <v>46.29404732458886</v>
      </c>
      <c r="G52" s="717">
        <f t="shared" si="6"/>
        <v>0</v>
      </c>
      <c r="H52" s="717">
        <f t="shared" si="6"/>
        <v>22644.291441497346</v>
      </c>
      <c r="I52" s="717">
        <f t="shared" si="6"/>
        <v>5234.0143151590628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27998.965920979281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622.7198054841964</v>
      </c>
      <c r="D54" s="687">
        <f ca="1">+landbouw!C12</f>
        <v>0</v>
      </c>
      <c r="E54" s="687">
        <f>+landbouw!D12</f>
        <v>25.891370604000002</v>
      </c>
      <c r="F54" s="687">
        <f>+landbouw!E12</f>
        <v>26.744779454744371</v>
      </c>
      <c r="G54" s="687">
        <f>+landbouw!F12</f>
        <v>3562.1762480191887</v>
      </c>
      <c r="H54" s="687">
        <f>+landbouw!G12</f>
        <v>0</v>
      </c>
      <c r="I54" s="687">
        <f>+landbouw!H12</f>
        <v>0</v>
      </c>
      <c r="J54" s="687">
        <f>+landbouw!I12</f>
        <v>0</v>
      </c>
      <c r="K54" s="687">
        <f>+landbouw!J12</f>
        <v>368.17965038537523</v>
      </c>
      <c r="L54" s="687">
        <f>+landbouw!K12</f>
        <v>0</v>
      </c>
      <c r="M54" s="687">
        <f>+landbouw!L12</f>
        <v>0</v>
      </c>
      <c r="N54" s="687">
        <f>+landbouw!M12</f>
        <v>0</v>
      </c>
      <c r="O54" s="687">
        <f>+landbouw!N12</f>
        <v>0</v>
      </c>
      <c r="P54" s="687">
        <f>+landbouw!O12</f>
        <v>0</v>
      </c>
      <c r="Q54" s="688">
        <f>+landbouw!P12</f>
        <v>0</v>
      </c>
      <c r="R54" s="716">
        <f ca="1">SUM(C54:Q54)</f>
        <v>4605.711853947505</v>
      </c>
    </row>
    <row r="55" spans="1:18" ht="15" thickBot="1">
      <c r="A55" s="818" t="s">
        <v>714</v>
      </c>
      <c r="B55" s="828"/>
      <c r="C55" s="687">
        <f ca="1">C25*'EF ele_warmte'!B12</f>
        <v>62.367381526356752</v>
      </c>
      <c r="D55" s="687"/>
      <c r="E55" s="687">
        <f>E25*EF_CO2_aardgas</f>
        <v>247.20654960000005</v>
      </c>
      <c r="F55" s="687"/>
      <c r="G55" s="687"/>
      <c r="H55" s="687"/>
      <c r="I55" s="687"/>
      <c r="J55" s="687"/>
      <c r="K55" s="687"/>
      <c r="L55" s="687"/>
      <c r="M55" s="687"/>
      <c r="N55" s="687"/>
      <c r="O55" s="687"/>
      <c r="P55" s="687"/>
      <c r="Q55" s="688"/>
      <c r="R55" s="716">
        <f ca="1">SUM(C55:Q55)</f>
        <v>309.5739311263568</v>
      </c>
    </row>
    <row r="56" spans="1:18" ht="15.75" thickBot="1">
      <c r="A56" s="816" t="s">
        <v>715</v>
      </c>
      <c r="B56" s="829"/>
      <c r="C56" s="717">
        <f ca="1">SUM(C54:C55)</f>
        <v>685.08718701055318</v>
      </c>
      <c r="D56" s="717">
        <f t="shared" ref="D56:Q56" ca="1" si="7">SUM(D54:D55)</f>
        <v>0</v>
      </c>
      <c r="E56" s="717">
        <f t="shared" si="7"/>
        <v>273.09792020400005</v>
      </c>
      <c r="F56" s="717">
        <f t="shared" si="7"/>
        <v>26.744779454744371</v>
      </c>
      <c r="G56" s="717">
        <f t="shared" si="7"/>
        <v>3562.1762480191887</v>
      </c>
      <c r="H56" s="717">
        <f t="shared" si="7"/>
        <v>0</v>
      </c>
      <c r="I56" s="717">
        <f t="shared" si="7"/>
        <v>0</v>
      </c>
      <c r="J56" s="717">
        <f t="shared" si="7"/>
        <v>0</v>
      </c>
      <c r="K56" s="717">
        <f t="shared" si="7"/>
        <v>368.17965038537523</v>
      </c>
      <c r="L56" s="717">
        <f t="shared" si="7"/>
        <v>0</v>
      </c>
      <c r="M56" s="717">
        <f t="shared" si="7"/>
        <v>0</v>
      </c>
      <c r="N56" s="717">
        <f t="shared" si="7"/>
        <v>0</v>
      </c>
      <c r="O56" s="717">
        <f t="shared" si="7"/>
        <v>0</v>
      </c>
      <c r="P56" s="717">
        <f t="shared" si="7"/>
        <v>0</v>
      </c>
      <c r="Q56" s="718">
        <f t="shared" si="7"/>
        <v>0</v>
      </c>
      <c r="R56" s="719">
        <f ca="1">SUM(R54:R55)</f>
        <v>4915.2857850738619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14182.200008911988</v>
      </c>
      <c r="D61" s="725">
        <f t="shared" ref="D61:Q61" ca="1" si="8">D46+D52+D56</f>
        <v>0</v>
      </c>
      <c r="E61" s="725">
        <f t="shared" ca="1" si="8"/>
        <v>17527.218661825649</v>
      </c>
      <c r="F61" s="725">
        <f t="shared" si="8"/>
        <v>985.66883190907652</v>
      </c>
      <c r="G61" s="725">
        <f t="shared" ca="1" si="8"/>
        <v>17965.958693257595</v>
      </c>
      <c r="H61" s="725">
        <f t="shared" si="8"/>
        <v>22644.291441497346</v>
      </c>
      <c r="I61" s="725">
        <f t="shared" si="8"/>
        <v>5234.0143151590628</v>
      </c>
      <c r="J61" s="725">
        <f t="shared" si="8"/>
        <v>0</v>
      </c>
      <c r="K61" s="725">
        <f t="shared" si="8"/>
        <v>505.82901803277736</v>
      </c>
      <c r="L61" s="725">
        <f t="shared" si="8"/>
        <v>0</v>
      </c>
      <c r="M61" s="725">
        <f t="shared" ca="1" si="8"/>
        <v>0</v>
      </c>
      <c r="N61" s="725">
        <f t="shared" si="8"/>
        <v>0</v>
      </c>
      <c r="O61" s="725">
        <f t="shared" ca="1" si="8"/>
        <v>0</v>
      </c>
      <c r="P61" s="725">
        <f t="shared" si="8"/>
        <v>0</v>
      </c>
      <c r="Q61" s="725">
        <f t="shared" si="8"/>
        <v>0</v>
      </c>
      <c r="R61" s="725">
        <f ca="1">R46+R52+R56</f>
        <v>79045.180970593516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0.16495621950692957</v>
      </c>
      <c r="D63" s="771">
        <f t="shared" ca="1" si="9"/>
        <v>0</v>
      </c>
      <c r="E63" s="969">
        <f t="shared" ca="1" si="9"/>
        <v>0.20199999999999999</v>
      </c>
      <c r="F63" s="771">
        <f t="shared" si="9"/>
        <v>0.22700000000000006</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11014.38904115144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10788.3</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12692.117647058827</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21802.68904115144</v>
      </c>
      <c r="C78" s="743">
        <f>SUM(C72:C77)</f>
        <v>0</v>
      </c>
      <c r="D78" s="744">
        <f t="shared" ref="D78:H78" si="10">SUM(D76:D77)</f>
        <v>0</v>
      </c>
      <c r="E78" s="744">
        <f t="shared" si="10"/>
        <v>0</v>
      </c>
      <c r="F78" s="744">
        <f t="shared" si="10"/>
        <v>0</v>
      </c>
      <c r="G78" s="744">
        <f t="shared" si="10"/>
        <v>0</v>
      </c>
      <c r="H78" s="744">
        <f t="shared" si="10"/>
        <v>0</v>
      </c>
      <c r="I78" s="744">
        <f>SUM(I76:I77)</f>
        <v>0</v>
      </c>
      <c r="J78" s="744">
        <f>SUM(J76:J77)</f>
        <v>12692.117647058827</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15411.857142857143</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18131.596638655465</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15411.857142857143</v>
      </c>
      <c r="C90" s="743">
        <f>SUM(C87:C89)</f>
        <v>0</v>
      </c>
      <c r="D90" s="743">
        <f t="shared" ref="D90:H90" si="12">SUM(D87:D89)</f>
        <v>0</v>
      </c>
      <c r="E90" s="743">
        <f t="shared" si="12"/>
        <v>0</v>
      </c>
      <c r="F90" s="743">
        <f t="shared" si="12"/>
        <v>0</v>
      </c>
      <c r="G90" s="743">
        <f t="shared" si="12"/>
        <v>0</v>
      </c>
      <c r="H90" s="743">
        <f t="shared" si="12"/>
        <v>0</v>
      </c>
      <c r="I90" s="743">
        <f>SUM(I87:I89)</f>
        <v>0</v>
      </c>
      <c r="J90" s="743">
        <f>SUM(J87:J89)</f>
        <v>18131.596638655465</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28749.675237613061</v>
      </c>
      <c r="C4" s="448">
        <f>huishoudens!C8</f>
        <v>0</v>
      </c>
      <c r="D4" s="448">
        <f>huishoudens!D8</f>
        <v>41873.752828600002</v>
      </c>
      <c r="E4" s="448">
        <f>huishoudens!E8</f>
        <v>2969.5215559323419</v>
      </c>
      <c r="F4" s="448">
        <f>huishoudens!F8</f>
        <v>47872.645278770142</v>
      </c>
      <c r="G4" s="448">
        <f>huishoudens!G8</f>
        <v>0</v>
      </c>
      <c r="H4" s="448">
        <f>huishoudens!H8</f>
        <v>0</v>
      </c>
      <c r="I4" s="448">
        <f>huishoudens!I8</f>
        <v>0</v>
      </c>
      <c r="J4" s="448">
        <f>huishoudens!J8</f>
        <v>191.24910727198187</v>
      </c>
      <c r="K4" s="448">
        <f>huishoudens!K8</f>
        <v>0</v>
      </c>
      <c r="L4" s="448">
        <f>huishoudens!L8</f>
        <v>0</v>
      </c>
      <c r="M4" s="448">
        <f>huishoudens!M8</f>
        <v>0</v>
      </c>
      <c r="N4" s="448">
        <f>huishoudens!N8</f>
        <v>9652.8518983004305</v>
      </c>
      <c r="O4" s="448">
        <f>huishoudens!O8</f>
        <v>664.62600349465561</v>
      </c>
      <c r="P4" s="449">
        <f>huishoudens!P8</f>
        <v>1369.4147099990528</v>
      </c>
      <c r="Q4" s="450">
        <f>SUM(B4:P4)</f>
        <v>133343.73661998168</v>
      </c>
    </row>
    <row r="5" spans="1:17">
      <c r="A5" s="447" t="s">
        <v>155</v>
      </c>
      <c r="B5" s="448">
        <f ca="1">tertiair!B16</f>
        <v>36268.320111000001</v>
      </c>
      <c r="C5" s="448">
        <f ca="1">tertiair!C16</f>
        <v>0</v>
      </c>
      <c r="D5" s="448">
        <f ca="1">tertiair!D16</f>
        <v>41095.114916327992</v>
      </c>
      <c r="E5" s="448">
        <f>tertiair!E16</f>
        <v>461.64454011376688</v>
      </c>
      <c r="F5" s="448">
        <f ca="1">tertiair!F16</f>
        <v>4248.3848188414531</v>
      </c>
      <c r="G5" s="448">
        <f>tertiair!G16</f>
        <v>0</v>
      </c>
      <c r="H5" s="448">
        <f>tertiair!H16</f>
        <v>0</v>
      </c>
      <c r="I5" s="448">
        <f>tertiair!I16</f>
        <v>0</v>
      </c>
      <c r="J5" s="448">
        <f>tertiair!J16</f>
        <v>6.0111360623684981E-2</v>
      </c>
      <c r="K5" s="448">
        <f>tertiair!K16</f>
        <v>0</v>
      </c>
      <c r="L5" s="448">
        <f ca="1">tertiair!L16</f>
        <v>0</v>
      </c>
      <c r="M5" s="448">
        <f>tertiair!M16</f>
        <v>0</v>
      </c>
      <c r="N5" s="448">
        <f ca="1">tertiair!N16</f>
        <v>2366.2209113451418</v>
      </c>
      <c r="O5" s="448">
        <f>tertiair!O16</f>
        <v>9.7945215316823084</v>
      </c>
      <c r="P5" s="449">
        <f>tertiair!P16</f>
        <v>262.69569153247511</v>
      </c>
      <c r="Q5" s="447">
        <f t="shared" ref="Q5:Q14" ca="1" si="0">SUM(B5:P5)</f>
        <v>84712.235622053136</v>
      </c>
    </row>
    <row r="6" spans="1:17">
      <c r="A6" s="447" t="s">
        <v>193</v>
      </c>
      <c r="B6" s="448">
        <f>'openbare verlichting'!B8</f>
        <v>1173.1569999999999</v>
      </c>
      <c r="C6" s="448"/>
      <c r="D6" s="448"/>
      <c r="E6" s="448"/>
      <c r="F6" s="448"/>
      <c r="G6" s="448"/>
      <c r="H6" s="448"/>
      <c r="I6" s="448"/>
      <c r="J6" s="448"/>
      <c r="K6" s="448"/>
      <c r="L6" s="448"/>
      <c r="M6" s="448"/>
      <c r="N6" s="448"/>
      <c r="O6" s="448"/>
      <c r="P6" s="449"/>
      <c r="Q6" s="447">
        <f t="shared" si="0"/>
        <v>1173.1569999999999</v>
      </c>
    </row>
    <row r="7" spans="1:17">
      <c r="A7" s="447" t="s">
        <v>111</v>
      </c>
      <c r="B7" s="448">
        <f>landbouw!B8</f>
        <v>3775.0610879999999</v>
      </c>
      <c r="C7" s="448">
        <f>landbouw!C8</f>
        <v>124.71428571428569</v>
      </c>
      <c r="D7" s="448">
        <f>landbouw!D8</f>
        <v>128.17510200000001</v>
      </c>
      <c r="E7" s="448">
        <f>landbouw!E8</f>
        <v>117.81841169490912</v>
      </c>
      <c r="F7" s="448">
        <f>landbouw!F8</f>
        <v>13341.484074978234</v>
      </c>
      <c r="G7" s="448">
        <f>landbouw!G8</f>
        <v>0</v>
      </c>
      <c r="H7" s="448">
        <f>landbouw!H8</f>
        <v>0</v>
      </c>
      <c r="I7" s="448">
        <f>landbouw!I8</f>
        <v>0</v>
      </c>
      <c r="J7" s="448">
        <f>landbouw!J8</f>
        <v>1040.0555095632069</v>
      </c>
      <c r="K7" s="448">
        <f>landbouw!K8</f>
        <v>0</v>
      </c>
      <c r="L7" s="448">
        <f>landbouw!L8</f>
        <v>0</v>
      </c>
      <c r="M7" s="448">
        <f>landbouw!M8</f>
        <v>0</v>
      </c>
      <c r="N7" s="448">
        <f>landbouw!N8</f>
        <v>0</v>
      </c>
      <c r="O7" s="448">
        <f>landbouw!O8</f>
        <v>0</v>
      </c>
      <c r="P7" s="449">
        <f>landbouw!P8</f>
        <v>0</v>
      </c>
      <c r="Q7" s="447">
        <f t="shared" si="0"/>
        <v>18527.308471950637</v>
      </c>
    </row>
    <row r="8" spans="1:17">
      <c r="A8" s="447" t="s">
        <v>618</v>
      </c>
      <c r="B8" s="448">
        <f>industrie!B18</f>
        <v>15470.861815</v>
      </c>
      <c r="C8" s="448">
        <f>industrie!C18</f>
        <v>15287.142857142857</v>
      </c>
      <c r="D8" s="448">
        <f>industrie!D18</f>
        <v>2210.3912292000005</v>
      </c>
      <c r="E8" s="448">
        <f>industrie!E18</f>
        <v>589.23040232280368</v>
      </c>
      <c r="F8" s="448">
        <f>industrie!F18</f>
        <v>1825.720633618384</v>
      </c>
      <c r="G8" s="448">
        <f>industrie!G18</f>
        <v>0</v>
      </c>
      <c r="H8" s="448">
        <f>industrie!H18</f>
        <v>0</v>
      </c>
      <c r="I8" s="448">
        <f>industrie!I18</f>
        <v>0</v>
      </c>
      <c r="J8" s="448">
        <f>industrie!J18</f>
        <v>197.53080297022538</v>
      </c>
      <c r="K8" s="448">
        <f>industrie!K18</f>
        <v>0</v>
      </c>
      <c r="L8" s="448">
        <f>industrie!L18</f>
        <v>0</v>
      </c>
      <c r="M8" s="448">
        <f>industrie!M18</f>
        <v>0</v>
      </c>
      <c r="N8" s="448">
        <f>industrie!N18</f>
        <v>0</v>
      </c>
      <c r="O8" s="448">
        <f>industrie!O18</f>
        <v>0</v>
      </c>
      <c r="P8" s="449">
        <f>industrie!P18</f>
        <v>0</v>
      </c>
      <c r="Q8" s="447">
        <f t="shared" si="0"/>
        <v>35580.877740254276</v>
      </c>
    </row>
    <row r="9" spans="1:17" s="453" customFormat="1">
      <c r="A9" s="451" t="s">
        <v>544</v>
      </c>
      <c r="B9" s="452">
        <f>transport!B14</f>
        <v>127.45611828591412</v>
      </c>
      <c r="C9" s="452">
        <f>transport!C14</f>
        <v>0</v>
      </c>
      <c r="D9" s="452">
        <f>transport!D14</f>
        <v>237.18034083066669</v>
      </c>
      <c r="E9" s="452">
        <f>transport!E14</f>
        <v>203.93853446955444</v>
      </c>
      <c r="F9" s="452">
        <f>transport!F14</f>
        <v>0</v>
      </c>
      <c r="G9" s="452">
        <f>transport!G14</f>
        <v>82424.691242039902</v>
      </c>
      <c r="H9" s="452">
        <f>transport!H14</f>
        <v>21020.137811883786</v>
      </c>
      <c r="I9" s="452">
        <f>transport!I14</f>
        <v>0</v>
      </c>
      <c r="J9" s="452">
        <f>transport!J14</f>
        <v>0</v>
      </c>
      <c r="K9" s="452">
        <f>transport!K14</f>
        <v>0</v>
      </c>
      <c r="L9" s="452">
        <f>transport!L14</f>
        <v>0</v>
      </c>
      <c r="M9" s="452">
        <f>transport!M14</f>
        <v>6142.8596082369349</v>
      </c>
      <c r="N9" s="452">
        <f>transport!N14</f>
        <v>0</v>
      </c>
      <c r="O9" s="452">
        <f>transport!O14</f>
        <v>0</v>
      </c>
      <c r="P9" s="452">
        <f>transport!P14</f>
        <v>0</v>
      </c>
      <c r="Q9" s="451">
        <f>SUM(B9:P9)</f>
        <v>110156.26365574676</v>
      </c>
    </row>
    <row r="10" spans="1:17">
      <c r="A10" s="447" t="s">
        <v>534</v>
      </c>
      <c r="B10" s="448">
        <f>transport!B54</f>
        <v>32.923940311240933</v>
      </c>
      <c r="C10" s="448">
        <f>transport!C54</f>
        <v>0</v>
      </c>
      <c r="D10" s="448">
        <f>transport!D54</f>
        <v>0</v>
      </c>
      <c r="E10" s="448">
        <f>transport!E54</f>
        <v>0</v>
      </c>
      <c r="F10" s="448">
        <f>transport!F54</f>
        <v>0</v>
      </c>
      <c r="G10" s="448">
        <f>transport!G54</f>
        <v>2385.3890631935942</v>
      </c>
      <c r="H10" s="448">
        <f>transport!H54</f>
        <v>0</v>
      </c>
      <c r="I10" s="448">
        <f>transport!I54</f>
        <v>0</v>
      </c>
      <c r="J10" s="448">
        <f>transport!J54</f>
        <v>0</v>
      </c>
      <c r="K10" s="448">
        <f>transport!K54</f>
        <v>0</v>
      </c>
      <c r="L10" s="448">
        <f>transport!L54</f>
        <v>0</v>
      </c>
      <c r="M10" s="448">
        <f>transport!M54</f>
        <v>134.92470910535806</v>
      </c>
      <c r="N10" s="448">
        <f>transport!N54</f>
        <v>0</v>
      </c>
      <c r="O10" s="448">
        <f>transport!O54</f>
        <v>0</v>
      </c>
      <c r="P10" s="449">
        <f>transport!P54</f>
        <v>0</v>
      </c>
      <c r="Q10" s="447">
        <f t="shared" si="0"/>
        <v>2553.2377126101933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378.08445</v>
      </c>
      <c r="C14" s="455"/>
      <c r="D14" s="455">
        <f>'SEAP template'!E25</f>
        <v>1223.7948000000001</v>
      </c>
      <c r="E14" s="455"/>
      <c r="F14" s="455"/>
      <c r="G14" s="455"/>
      <c r="H14" s="455"/>
      <c r="I14" s="455"/>
      <c r="J14" s="455"/>
      <c r="K14" s="455"/>
      <c r="L14" s="455"/>
      <c r="M14" s="455"/>
      <c r="N14" s="455"/>
      <c r="O14" s="455"/>
      <c r="P14" s="456"/>
      <c r="Q14" s="447">
        <f t="shared" si="0"/>
        <v>1601.8792500000002</v>
      </c>
    </row>
    <row r="15" spans="1:17" s="459" customFormat="1">
      <c r="A15" s="457" t="s">
        <v>538</v>
      </c>
      <c r="B15" s="458">
        <f ca="1">SUM(B4:B14)</f>
        <v>85975.539760210217</v>
      </c>
      <c r="C15" s="458">
        <f t="shared" ref="C15:Q15" ca="1" si="1">SUM(C4:C14)</f>
        <v>15411.857142857143</v>
      </c>
      <c r="D15" s="458">
        <f t="shared" ca="1" si="1"/>
        <v>86768.409216958666</v>
      </c>
      <c r="E15" s="458">
        <f t="shared" si="1"/>
        <v>4342.1534445333764</v>
      </c>
      <c r="F15" s="458">
        <f t="shared" ca="1" si="1"/>
        <v>67288.234806208216</v>
      </c>
      <c r="G15" s="458">
        <f t="shared" si="1"/>
        <v>84810.080305233496</v>
      </c>
      <c r="H15" s="458">
        <f t="shared" si="1"/>
        <v>21020.137811883786</v>
      </c>
      <c r="I15" s="458">
        <f t="shared" si="1"/>
        <v>0</v>
      </c>
      <c r="J15" s="458">
        <f t="shared" si="1"/>
        <v>1428.8955311660377</v>
      </c>
      <c r="K15" s="458">
        <f t="shared" si="1"/>
        <v>0</v>
      </c>
      <c r="L15" s="458">
        <f t="shared" ca="1" si="1"/>
        <v>0</v>
      </c>
      <c r="M15" s="458">
        <f t="shared" si="1"/>
        <v>6277.7843173422934</v>
      </c>
      <c r="N15" s="458">
        <f t="shared" ca="1" si="1"/>
        <v>12019.072809645571</v>
      </c>
      <c r="O15" s="458">
        <f t="shared" si="1"/>
        <v>674.42052502633794</v>
      </c>
      <c r="P15" s="458">
        <f t="shared" si="1"/>
        <v>1632.1104015315279</v>
      </c>
      <c r="Q15" s="458">
        <f t="shared" ca="1" si="1"/>
        <v>387648.69607259671</v>
      </c>
    </row>
    <row r="17" spans="1:17">
      <c r="A17" s="460" t="s">
        <v>539</v>
      </c>
      <c r="B17" s="776">
        <f ca="1">huishoudens!B10</f>
        <v>0.1649562195069296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4742.4377392486385</v>
      </c>
      <c r="C22" s="448">
        <f t="shared" ref="C22:C32" ca="1" si="3">C4*$C$17</f>
        <v>0</v>
      </c>
      <c r="D22" s="448">
        <f t="shared" ref="D22:D32" si="4">D4*$D$17</f>
        <v>8458.4980713772002</v>
      </c>
      <c r="E22" s="448">
        <f t="shared" ref="E22:E32" si="5">E4*$E$17</f>
        <v>674.08139319664167</v>
      </c>
      <c r="F22" s="448">
        <f t="shared" ref="F22:F32" si="6">F4*$F$17</f>
        <v>12781.996289431629</v>
      </c>
      <c r="G22" s="448">
        <f t="shared" ref="G22:G32" si="7">G4*$G$17</f>
        <v>0</v>
      </c>
      <c r="H22" s="448">
        <f t="shared" ref="H22:H32" si="8">H4*$H$17</f>
        <v>0</v>
      </c>
      <c r="I22" s="448">
        <f t="shared" ref="I22:I32" si="9">I4*$I$17</f>
        <v>0</v>
      </c>
      <c r="J22" s="448">
        <f t="shared" ref="J22:J32" si="10">J4*$J$17</f>
        <v>67.702183974281581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26724.715677228392</v>
      </c>
    </row>
    <row r="23" spans="1:17">
      <c r="A23" s="447" t="s">
        <v>155</v>
      </c>
      <c r="B23" s="448">
        <f t="shared" ca="1" si="2"/>
        <v>5982.6849733777053</v>
      </c>
      <c r="C23" s="448">
        <f t="shared" ca="1" si="3"/>
        <v>0</v>
      </c>
      <c r="D23" s="448">
        <f t="shared" ca="1" si="4"/>
        <v>8301.2132130982554</v>
      </c>
      <c r="E23" s="448">
        <f t="shared" si="5"/>
        <v>104.79331060582508</v>
      </c>
      <c r="F23" s="448">
        <f t="shared" ca="1" si="6"/>
        <v>1134.3187466306681</v>
      </c>
      <c r="G23" s="448">
        <f t="shared" si="7"/>
        <v>0</v>
      </c>
      <c r="H23" s="448">
        <f t="shared" si="8"/>
        <v>0</v>
      </c>
      <c r="I23" s="448">
        <f t="shared" si="9"/>
        <v>0</v>
      </c>
      <c r="J23" s="448">
        <f t="shared" si="10"/>
        <v>2.1279421660784482E-2</v>
      </c>
      <c r="K23" s="448">
        <f t="shared" si="11"/>
        <v>0</v>
      </c>
      <c r="L23" s="448">
        <f t="shared" ca="1" si="12"/>
        <v>0</v>
      </c>
      <c r="M23" s="448">
        <f t="shared" si="13"/>
        <v>0</v>
      </c>
      <c r="N23" s="448">
        <f t="shared" ca="1" si="14"/>
        <v>0</v>
      </c>
      <c r="O23" s="448">
        <f t="shared" si="15"/>
        <v>0</v>
      </c>
      <c r="P23" s="449">
        <f t="shared" si="16"/>
        <v>0</v>
      </c>
      <c r="Q23" s="447">
        <f t="shared" ref="Q23:Q31" ca="1" si="17">SUM(B23:P23)</f>
        <v>15523.031523134114</v>
      </c>
    </row>
    <row r="24" spans="1:17">
      <c r="A24" s="447" t="s">
        <v>193</v>
      </c>
      <c r="B24" s="448">
        <f t="shared" ca="1" si="2"/>
        <v>193.519543608091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193.519543608091</v>
      </c>
    </row>
    <row r="25" spans="1:17">
      <c r="A25" s="447" t="s">
        <v>111</v>
      </c>
      <c r="B25" s="448">
        <f t="shared" ca="1" si="2"/>
        <v>622.7198054841964</v>
      </c>
      <c r="C25" s="448">
        <f t="shared" ca="1" si="3"/>
        <v>0</v>
      </c>
      <c r="D25" s="448">
        <f t="shared" si="4"/>
        <v>25.891370604000002</v>
      </c>
      <c r="E25" s="448">
        <f t="shared" si="5"/>
        <v>26.744779454744371</v>
      </c>
      <c r="F25" s="448">
        <f t="shared" si="6"/>
        <v>3562.1762480191887</v>
      </c>
      <c r="G25" s="448">
        <f t="shared" si="7"/>
        <v>0</v>
      </c>
      <c r="H25" s="448">
        <f t="shared" si="8"/>
        <v>0</v>
      </c>
      <c r="I25" s="448">
        <f t="shared" si="9"/>
        <v>0</v>
      </c>
      <c r="J25" s="448">
        <f t="shared" si="10"/>
        <v>368.17965038537523</v>
      </c>
      <c r="K25" s="448">
        <f t="shared" si="11"/>
        <v>0</v>
      </c>
      <c r="L25" s="448">
        <f t="shared" si="12"/>
        <v>0</v>
      </c>
      <c r="M25" s="448">
        <f t="shared" si="13"/>
        <v>0</v>
      </c>
      <c r="N25" s="448">
        <f t="shared" si="14"/>
        <v>0</v>
      </c>
      <c r="O25" s="448">
        <f t="shared" si="15"/>
        <v>0</v>
      </c>
      <c r="P25" s="449">
        <f t="shared" si="16"/>
        <v>0</v>
      </c>
      <c r="Q25" s="447">
        <f t="shared" ca="1" si="17"/>
        <v>4605.711853947505</v>
      </c>
    </row>
    <row r="26" spans="1:17">
      <c r="A26" s="447" t="s">
        <v>618</v>
      </c>
      <c r="B26" s="448">
        <f t="shared" ca="1" si="2"/>
        <v>2552.0148775165153</v>
      </c>
      <c r="C26" s="448">
        <f t="shared" ca="1" si="3"/>
        <v>0</v>
      </c>
      <c r="D26" s="448">
        <f t="shared" si="4"/>
        <v>446.49902829840011</v>
      </c>
      <c r="E26" s="448">
        <f t="shared" si="5"/>
        <v>133.75530132727644</v>
      </c>
      <c r="F26" s="448">
        <f t="shared" si="6"/>
        <v>487.46740917610856</v>
      </c>
      <c r="G26" s="448">
        <f t="shared" si="7"/>
        <v>0</v>
      </c>
      <c r="H26" s="448">
        <f t="shared" si="8"/>
        <v>0</v>
      </c>
      <c r="I26" s="448">
        <f t="shared" si="9"/>
        <v>0</v>
      </c>
      <c r="J26" s="448">
        <f t="shared" si="10"/>
        <v>69.925904251459784</v>
      </c>
      <c r="K26" s="448">
        <f t="shared" si="11"/>
        <v>0</v>
      </c>
      <c r="L26" s="448">
        <f t="shared" si="12"/>
        <v>0</v>
      </c>
      <c r="M26" s="448">
        <f t="shared" si="13"/>
        <v>0</v>
      </c>
      <c r="N26" s="448">
        <f t="shared" si="14"/>
        <v>0</v>
      </c>
      <c r="O26" s="448">
        <f t="shared" si="15"/>
        <v>0</v>
      </c>
      <c r="P26" s="449">
        <f t="shared" si="16"/>
        <v>0</v>
      </c>
      <c r="Q26" s="447">
        <f t="shared" ca="1" si="17"/>
        <v>3689.6625205697601</v>
      </c>
    </row>
    <row r="27" spans="1:17" s="453" customFormat="1">
      <c r="A27" s="451" t="s">
        <v>544</v>
      </c>
      <c r="B27" s="770">
        <f t="shared" ca="1" si="2"/>
        <v>21.024679425472431</v>
      </c>
      <c r="C27" s="452">
        <f t="shared" ca="1" si="3"/>
        <v>0</v>
      </c>
      <c r="D27" s="452">
        <f t="shared" si="4"/>
        <v>47.910428847794677</v>
      </c>
      <c r="E27" s="452">
        <f t="shared" si="5"/>
        <v>46.29404732458886</v>
      </c>
      <c r="F27" s="452">
        <f t="shared" si="6"/>
        <v>0</v>
      </c>
      <c r="G27" s="452">
        <f t="shared" si="7"/>
        <v>22007.392561624656</v>
      </c>
      <c r="H27" s="452">
        <f t="shared" si="8"/>
        <v>5234.0143151590628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27356.636032381575</v>
      </c>
    </row>
    <row r="28" spans="1:17" ht="16.5" customHeight="1">
      <c r="A28" s="447" t="s">
        <v>534</v>
      </c>
      <c r="B28" s="448">
        <f t="shared" ca="1" si="2"/>
        <v>5.4310087250141077</v>
      </c>
      <c r="C28" s="448">
        <f t="shared" ca="1" si="3"/>
        <v>0</v>
      </c>
      <c r="D28" s="448">
        <f t="shared" si="4"/>
        <v>0</v>
      </c>
      <c r="E28" s="448">
        <f t="shared" si="5"/>
        <v>0</v>
      </c>
      <c r="F28" s="448">
        <f t="shared" si="6"/>
        <v>0</v>
      </c>
      <c r="G28" s="448">
        <f t="shared" si="7"/>
        <v>636.89887987268969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642.32988859770376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62.367381526356752</v>
      </c>
      <c r="C32" s="448">
        <f t="shared" ca="1" si="3"/>
        <v>0</v>
      </c>
      <c r="D32" s="448">
        <f t="shared" si="4"/>
        <v>247.20654960000005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309.5739311263568</v>
      </c>
    </row>
    <row r="33" spans="1:17" s="459" customFormat="1">
      <c r="A33" s="457" t="s">
        <v>538</v>
      </c>
      <c r="B33" s="458">
        <f ca="1">SUM(B22:B32)</f>
        <v>14182.20000891199</v>
      </c>
      <c r="C33" s="458">
        <f t="shared" ref="C33:Q33" ca="1" si="19">SUM(C22:C32)</f>
        <v>0</v>
      </c>
      <c r="D33" s="458">
        <f t="shared" ca="1" si="19"/>
        <v>17527.218661825649</v>
      </c>
      <c r="E33" s="458">
        <f t="shared" si="19"/>
        <v>985.66883190907652</v>
      </c>
      <c r="F33" s="458">
        <f t="shared" ca="1" si="19"/>
        <v>17965.958693257595</v>
      </c>
      <c r="G33" s="458">
        <f t="shared" si="19"/>
        <v>22644.291441497346</v>
      </c>
      <c r="H33" s="458">
        <f t="shared" si="19"/>
        <v>5234.0143151590628</v>
      </c>
      <c r="I33" s="458">
        <f t="shared" si="19"/>
        <v>0</v>
      </c>
      <c r="J33" s="458">
        <f t="shared" si="19"/>
        <v>505.82901803277736</v>
      </c>
      <c r="K33" s="458">
        <f t="shared" si="19"/>
        <v>0</v>
      </c>
      <c r="L33" s="458">
        <f t="shared" ca="1" si="19"/>
        <v>0</v>
      </c>
      <c r="M33" s="458">
        <f t="shared" si="19"/>
        <v>0</v>
      </c>
      <c r="N33" s="458">
        <f t="shared" ca="1" si="19"/>
        <v>0</v>
      </c>
      <c r="O33" s="458">
        <f t="shared" si="19"/>
        <v>0</v>
      </c>
      <c r="P33" s="458">
        <f t="shared" si="19"/>
        <v>0</v>
      </c>
      <c r="Q33" s="458">
        <f t="shared" ca="1" si="19"/>
        <v>79045.180970593501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11014.38904115144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10788.3</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12692.117647058827</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21802.68904115144</v>
      </c>
      <c r="C10" s="1023">
        <f>SUM(C4:C9)</f>
        <v>0</v>
      </c>
      <c r="D10" s="1023">
        <f t="shared" ref="D10:H10" si="0">SUM(D8:D9)</f>
        <v>0</v>
      </c>
      <c r="E10" s="1023">
        <f t="shared" si="0"/>
        <v>0</v>
      </c>
      <c r="F10" s="1023">
        <f t="shared" si="0"/>
        <v>0</v>
      </c>
      <c r="G10" s="1023">
        <f t="shared" si="0"/>
        <v>0</v>
      </c>
      <c r="H10" s="1023">
        <f t="shared" si="0"/>
        <v>0</v>
      </c>
      <c r="I10" s="1023">
        <f>SUM(I8:I9)</f>
        <v>0</v>
      </c>
      <c r="J10" s="1023">
        <f>SUM(J8:J9)</f>
        <v>12692.117647058827</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0.1649562195069296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15411.857142857143</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18131.596638655465</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15411.857142857143</v>
      </c>
      <c r="C20" s="1023">
        <f>SUM(C17:C19)</f>
        <v>0</v>
      </c>
      <c r="D20" s="1023">
        <f t="shared" ref="D20:H20" si="2">SUM(D17:D19)</f>
        <v>0</v>
      </c>
      <c r="E20" s="1023">
        <f t="shared" si="2"/>
        <v>0</v>
      </c>
      <c r="F20" s="1023">
        <f t="shared" si="2"/>
        <v>0</v>
      </c>
      <c r="G20" s="1023">
        <f t="shared" si="2"/>
        <v>0</v>
      </c>
      <c r="H20" s="1023">
        <f t="shared" si="2"/>
        <v>0</v>
      </c>
      <c r="I20" s="1023">
        <f>SUM(I17:I19)</f>
        <v>0</v>
      </c>
      <c r="J20" s="1023">
        <f>SUM(J17:J19)</f>
        <v>18131.596638655465</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0.1649562195069296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0.1649562195069296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0.1649562195069296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6721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5239.79</v>
      </c>
      <c r="C14" s="326"/>
      <c r="D14" s="326"/>
      <c r="E14" s="326"/>
      <c r="F14" s="326"/>
    </row>
    <row r="15" spans="1:6">
      <c r="A15" s="1298" t="s">
        <v>183</v>
      </c>
      <c r="B15" s="1299">
        <v>1294</v>
      </c>
      <c r="C15" s="326"/>
      <c r="D15" s="326"/>
      <c r="E15" s="326"/>
      <c r="F15" s="326"/>
    </row>
    <row r="16" spans="1:6">
      <c r="A16" s="1298" t="s">
        <v>6</v>
      </c>
      <c r="B16" s="1299">
        <v>4281</v>
      </c>
      <c r="C16" s="326"/>
      <c r="D16" s="326"/>
      <c r="E16" s="326"/>
      <c r="F16" s="326"/>
    </row>
    <row r="17" spans="1:6">
      <c r="A17" s="1298" t="s">
        <v>7</v>
      </c>
      <c r="B17" s="1299">
        <v>565</v>
      </c>
      <c r="C17" s="326"/>
      <c r="D17" s="326"/>
      <c r="E17" s="326"/>
      <c r="F17" s="326"/>
    </row>
    <row r="18" spans="1:6">
      <c r="A18" s="1298" t="s">
        <v>8</v>
      </c>
      <c r="B18" s="1299">
        <v>2337</v>
      </c>
      <c r="C18" s="326"/>
      <c r="D18" s="326"/>
      <c r="E18" s="326"/>
      <c r="F18" s="326"/>
    </row>
    <row r="19" spans="1:6">
      <c r="A19" s="1298" t="s">
        <v>9</v>
      </c>
      <c r="B19" s="1299">
        <v>2221</v>
      </c>
      <c r="C19" s="326"/>
      <c r="D19" s="326"/>
      <c r="E19" s="326"/>
      <c r="F19" s="326"/>
    </row>
    <row r="20" spans="1:6">
      <c r="A20" s="1298" t="s">
        <v>10</v>
      </c>
      <c r="B20" s="1299">
        <v>1337</v>
      </c>
      <c r="C20" s="326"/>
      <c r="D20" s="326"/>
      <c r="E20" s="326"/>
      <c r="F20" s="326"/>
    </row>
    <row r="21" spans="1:6">
      <c r="A21" s="1298" t="s">
        <v>11</v>
      </c>
      <c r="B21" s="1299">
        <v>7906</v>
      </c>
      <c r="C21" s="326"/>
      <c r="D21" s="326"/>
      <c r="E21" s="326"/>
      <c r="F21" s="326"/>
    </row>
    <row r="22" spans="1:6">
      <c r="A22" s="1298" t="s">
        <v>12</v>
      </c>
      <c r="B22" s="1299">
        <v>21217</v>
      </c>
      <c r="C22" s="326"/>
      <c r="D22" s="326"/>
      <c r="E22" s="326"/>
      <c r="F22" s="326"/>
    </row>
    <row r="23" spans="1:6">
      <c r="A23" s="1298" t="s">
        <v>13</v>
      </c>
      <c r="B23" s="1299">
        <v>856</v>
      </c>
      <c r="C23" s="326"/>
      <c r="D23" s="326"/>
      <c r="E23" s="326"/>
      <c r="F23" s="326"/>
    </row>
    <row r="24" spans="1:6">
      <c r="A24" s="1298" t="s">
        <v>14</v>
      </c>
      <c r="B24" s="1299">
        <v>23</v>
      </c>
      <c r="C24" s="326"/>
      <c r="D24" s="326"/>
      <c r="E24" s="326"/>
      <c r="F24" s="326"/>
    </row>
    <row r="25" spans="1:6">
      <c r="A25" s="1298" t="s">
        <v>15</v>
      </c>
      <c r="B25" s="1299">
        <v>3815</v>
      </c>
      <c r="C25" s="326"/>
      <c r="D25" s="326"/>
      <c r="E25" s="326"/>
      <c r="F25" s="326"/>
    </row>
    <row r="26" spans="1:6">
      <c r="A26" s="1298" t="s">
        <v>16</v>
      </c>
      <c r="B26" s="1299">
        <v>394</v>
      </c>
      <c r="C26" s="326"/>
      <c r="D26" s="326"/>
      <c r="E26" s="326"/>
      <c r="F26" s="326"/>
    </row>
    <row r="27" spans="1:6">
      <c r="A27" s="1298" t="s">
        <v>17</v>
      </c>
      <c r="B27" s="1299">
        <v>1386</v>
      </c>
      <c r="C27" s="326"/>
      <c r="D27" s="326"/>
      <c r="E27" s="326"/>
      <c r="F27" s="326"/>
    </row>
    <row r="28" spans="1:6" s="43" customFormat="1">
      <c r="A28" s="1300" t="s">
        <v>18</v>
      </c>
      <c r="B28" s="1301">
        <v>389943</v>
      </c>
      <c r="C28" s="332"/>
      <c r="D28" s="332"/>
      <c r="E28" s="332"/>
      <c r="F28" s="332"/>
    </row>
    <row r="29" spans="1:6">
      <c r="A29" s="1300" t="s">
        <v>695</v>
      </c>
      <c r="B29" s="1301">
        <v>507</v>
      </c>
      <c r="C29" s="332"/>
      <c r="D29" s="332"/>
      <c r="E29" s="332"/>
      <c r="F29" s="332"/>
    </row>
    <row r="30" spans="1:6">
      <c r="A30" s="1293" t="s">
        <v>696</v>
      </c>
      <c r="B30" s="1302">
        <v>153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3</v>
      </c>
      <c r="F35" s="1299">
        <v>4620</v>
      </c>
    </row>
    <row r="36" spans="1:6">
      <c r="A36" s="1298" t="s">
        <v>24</v>
      </c>
      <c r="B36" s="1298" t="s">
        <v>26</v>
      </c>
      <c r="C36" s="1299">
        <v>0</v>
      </c>
      <c r="D36" s="1299">
        <v>0</v>
      </c>
      <c r="E36" s="1299">
        <v>18</v>
      </c>
      <c r="F36" s="1299">
        <v>36640</v>
      </c>
    </row>
    <row r="37" spans="1:6">
      <c r="A37" s="1298" t="s">
        <v>24</v>
      </c>
      <c r="B37" s="1298" t="s">
        <v>27</v>
      </c>
      <c r="C37" s="1299">
        <v>0</v>
      </c>
      <c r="D37" s="1299">
        <v>0</v>
      </c>
      <c r="E37" s="1299">
        <v>0</v>
      </c>
      <c r="F37" s="1299">
        <v>0</v>
      </c>
    </row>
    <row r="38" spans="1:6">
      <c r="A38" s="1298" t="s">
        <v>24</v>
      </c>
      <c r="B38" s="1298" t="s">
        <v>28</v>
      </c>
      <c r="C38" s="1299">
        <v>2</v>
      </c>
      <c r="D38" s="1299">
        <v>281956</v>
      </c>
      <c r="E38" s="1299">
        <v>0</v>
      </c>
      <c r="F38" s="1299">
        <v>0</v>
      </c>
    </row>
    <row r="39" spans="1:6">
      <c r="A39" s="1298" t="s">
        <v>29</v>
      </c>
      <c r="B39" s="1298" t="s">
        <v>30</v>
      </c>
      <c r="C39" s="1299">
        <v>3314</v>
      </c>
      <c r="D39" s="1299">
        <v>46423229.299999997</v>
      </c>
      <c r="E39" s="1299">
        <v>6565</v>
      </c>
      <c r="F39" s="1299">
        <v>21135565.800000001</v>
      </c>
    </row>
    <row r="40" spans="1:6">
      <c r="A40" s="1298" t="s">
        <v>29</v>
      </c>
      <c r="B40" s="1298" t="s">
        <v>28</v>
      </c>
      <c r="C40" s="1299">
        <v>0</v>
      </c>
      <c r="D40" s="1299">
        <v>0</v>
      </c>
      <c r="E40" s="1299">
        <v>0</v>
      </c>
      <c r="F40" s="1299">
        <v>0</v>
      </c>
    </row>
    <row r="41" spans="1:6">
      <c r="A41" s="1298" t="s">
        <v>31</v>
      </c>
      <c r="B41" s="1298" t="s">
        <v>32</v>
      </c>
      <c r="C41" s="1299">
        <v>54</v>
      </c>
      <c r="D41" s="1299">
        <v>1629510.6</v>
      </c>
      <c r="E41" s="1299">
        <v>132</v>
      </c>
      <c r="F41" s="1299">
        <v>2065192.7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8</v>
      </c>
      <c r="D44" s="1299">
        <v>228648</v>
      </c>
      <c r="E44" s="1299">
        <v>31</v>
      </c>
      <c r="F44" s="1299">
        <v>453924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1784458</v>
      </c>
    </row>
    <row r="48" spans="1:6">
      <c r="A48" s="1298" t="s">
        <v>31</v>
      </c>
      <c r="B48" s="1298" t="s">
        <v>28</v>
      </c>
      <c r="C48" s="1299">
        <v>4</v>
      </c>
      <c r="D48" s="1299">
        <v>409982</v>
      </c>
      <c r="E48" s="1299">
        <v>3</v>
      </c>
      <c r="F48" s="1299">
        <v>223276.11499999999</v>
      </c>
    </row>
    <row r="49" spans="1:6">
      <c r="A49" s="1298" t="s">
        <v>31</v>
      </c>
      <c r="B49" s="1298" t="s">
        <v>39</v>
      </c>
      <c r="C49" s="1299">
        <v>0</v>
      </c>
      <c r="D49" s="1299">
        <v>0</v>
      </c>
      <c r="E49" s="1299">
        <v>3</v>
      </c>
      <c r="F49" s="1299">
        <v>31472</v>
      </c>
    </row>
    <row r="50" spans="1:6">
      <c r="A50" s="1298" t="s">
        <v>31</v>
      </c>
      <c r="B50" s="1298" t="s">
        <v>40</v>
      </c>
      <c r="C50" s="1299">
        <v>5</v>
      </c>
      <c r="D50" s="1299">
        <v>182404</v>
      </c>
      <c r="E50" s="1299">
        <v>11</v>
      </c>
      <c r="F50" s="1299">
        <v>211539</v>
      </c>
    </row>
    <row r="51" spans="1:6">
      <c r="A51" s="1298" t="s">
        <v>41</v>
      </c>
      <c r="B51" s="1298" t="s">
        <v>42</v>
      </c>
      <c r="C51" s="1299">
        <v>6</v>
      </c>
      <c r="D51" s="1299">
        <v>142101</v>
      </c>
      <c r="E51" s="1299">
        <v>189</v>
      </c>
      <c r="F51" s="1299">
        <v>3775061.088</v>
      </c>
    </row>
    <row r="52" spans="1:6">
      <c r="A52" s="1298" t="s">
        <v>41</v>
      </c>
      <c r="B52" s="1298" t="s">
        <v>28</v>
      </c>
      <c r="C52" s="1299">
        <v>0</v>
      </c>
      <c r="D52" s="1299">
        <v>0</v>
      </c>
      <c r="E52" s="1299">
        <v>0</v>
      </c>
      <c r="F52" s="1299">
        <v>0</v>
      </c>
    </row>
    <row r="53" spans="1:6">
      <c r="A53" s="1298" t="s">
        <v>43</v>
      </c>
      <c r="B53" s="1298" t="s">
        <v>44</v>
      </c>
      <c r="C53" s="1299">
        <v>62</v>
      </c>
      <c r="D53" s="1299">
        <v>1223794.8</v>
      </c>
      <c r="E53" s="1299">
        <v>123</v>
      </c>
      <c r="F53" s="1299">
        <v>378084.45</v>
      </c>
    </row>
    <row r="54" spans="1:6">
      <c r="A54" s="1298" t="s">
        <v>45</v>
      </c>
      <c r="B54" s="1298" t="s">
        <v>46</v>
      </c>
      <c r="C54" s="1299">
        <v>0</v>
      </c>
      <c r="D54" s="1299">
        <v>0</v>
      </c>
      <c r="E54" s="1299">
        <v>3</v>
      </c>
      <c r="F54" s="1299">
        <v>1173157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40</v>
      </c>
      <c r="D57" s="1299">
        <v>1250483</v>
      </c>
      <c r="E57" s="1299">
        <v>99</v>
      </c>
      <c r="F57" s="1299">
        <v>3540950</v>
      </c>
    </row>
    <row r="58" spans="1:6">
      <c r="A58" s="1298" t="s">
        <v>48</v>
      </c>
      <c r="B58" s="1298" t="s">
        <v>50</v>
      </c>
      <c r="C58" s="1299">
        <v>36</v>
      </c>
      <c r="D58" s="1299">
        <v>4944437.3140000002</v>
      </c>
      <c r="E58" s="1299">
        <v>50</v>
      </c>
      <c r="F58" s="1299">
        <v>1738538.1710000001</v>
      </c>
    </row>
    <row r="59" spans="1:6">
      <c r="A59" s="1298" t="s">
        <v>48</v>
      </c>
      <c r="B59" s="1298" t="s">
        <v>51</v>
      </c>
      <c r="C59" s="1299">
        <v>79</v>
      </c>
      <c r="D59" s="1299">
        <v>4846154.5999999996</v>
      </c>
      <c r="E59" s="1299">
        <v>212</v>
      </c>
      <c r="F59" s="1299">
        <v>7230708.2290000003</v>
      </c>
    </row>
    <row r="60" spans="1:6">
      <c r="A60" s="1298" t="s">
        <v>48</v>
      </c>
      <c r="B60" s="1298" t="s">
        <v>52</v>
      </c>
      <c r="C60" s="1299">
        <v>47</v>
      </c>
      <c r="D60" s="1299">
        <v>28191476</v>
      </c>
      <c r="E60" s="1299">
        <v>77</v>
      </c>
      <c r="F60" s="1299">
        <v>18627067.300000001</v>
      </c>
    </row>
    <row r="61" spans="1:6">
      <c r="A61" s="1298" t="s">
        <v>48</v>
      </c>
      <c r="B61" s="1298" t="s">
        <v>53</v>
      </c>
      <c r="C61" s="1299">
        <v>82</v>
      </c>
      <c r="D61" s="1299">
        <v>3414341.45</v>
      </c>
      <c r="E61" s="1299">
        <v>261</v>
      </c>
      <c r="F61" s="1299">
        <v>4124161.1830000002</v>
      </c>
    </row>
    <row r="62" spans="1:6">
      <c r="A62" s="1298" t="s">
        <v>48</v>
      </c>
      <c r="B62" s="1298" t="s">
        <v>54</v>
      </c>
      <c r="C62" s="1299">
        <v>19</v>
      </c>
      <c r="D62" s="1299">
        <v>2913102</v>
      </c>
      <c r="E62" s="1299">
        <v>19</v>
      </c>
      <c r="F62" s="1299">
        <v>1006895.228</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10</v>
      </c>
      <c r="F66" s="1299">
        <v>141535</v>
      </c>
    </row>
    <row r="67" spans="1:6">
      <c r="A67" s="1300" t="s">
        <v>55</v>
      </c>
      <c r="B67" s="1300" t="s">
        <v>58</v>
      </c>
      <c r="C67" s="1299">
        <v>0</v>
      </c>
      <c r="D67" s="1299">
        <v>0</v>
      </c>
      <c r="E67" s="1299">
        <v>0</v>
      </c>
      <c r="F67" s="1299">
        <v>0</v>
      </c>
    </row>
    <row r="68" spans="1:6">
      <c r="A68" s="1293" t="s">
        <v>55</v>
      </c>
      <c r="B68" s="1293" t="s">
        <v>59</v>
      </c>
      <c r="C68" s="1302">
        <v>3</v>
      </c>
      <c r="D68" s="1302">
        <v>77469</v>
      </c>
      <c r="E68" s="1302">
        <v>10</v>
      </c>
      <c r="F68" s="1302">
        <v>118938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86426873</v>
      </c>
      <c r="E73" s="446"/>
      <c r="F73" s="326"/>
    </row>
    <row r="74" spans="1:6">
      <c r="A74" s="1298" t="s">
        <v>63</v>
      </c>
      <c r="B74" s="1298" t="s">
        <v>639</v>
      </c>
      <c r="C74" s="1312" t="s">
        <v>641</v>
      </c>
      <c r="D74" s="1313">
        <v>6972989.5</v>
      </c>
      <c r="E74" s="446"/>
      <c r="F74" s="326"/>
    </row>
    <row r="75" spans="1:6">
      <c r="A75" s="1298" t="s">
        <v>64</v>
      </c>
      <c r="B75" s="1298" t="s">
        <v>638</v>
      </c>
      <c r="C75" s="1312" t="s">
        <v>642</v>
      </c>
      <c r="D75" s="1313">
        <v>40873072</v>
      </c>
      <c r="E75" s="446"/>
      <c r="F75" s="326"/>
    </row>
    <row r="76" spans="1:6">
      <c r="A76" s="1298" t="s">
        <v>64</v>
      </c>
      <c r="B76" s="1298" t="s">
        <v>639</v>
      </c>
      <c r="C76" s="1312" t="s">
        <v>643</v>
      </c>
      <c r="D76" s="1313">
        <v>722261.5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699639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7614.1094376130623</v>
      </c>
      <c r="C91" s="326"/>
      <c r="D91" s="326"/>
      <c r="E91" s="326"/>
      <c r="F91" s="326"/>
    </row>
    <row r="92" spans="1:6">
      <c r="A92" s="1293" t="s">
        <v>68</v>
      </c>
      <c r="B92" s="1294">
        <v>3400.2796035383776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903</v>
      </c>
      <c r="C97" s="326"/>
      <c r="D97" s="326"/>
      <c r="E97" s="326"/>
      <c r="F97" s="326"/>
    </row>
    <row r="98" spans="1:6">
      <c r="A98" s="1298" t="s">
        <v>71</v>
      </c>
      <c r="B98" s="1299">
        <v>5</v>
      </c>
      <c r="C98" s="326"/>
      <c r="D98" s="326"/>
      <c r="E98" s="326"/>
      <c r="F98" s="326"/>
    </row>
    <row r="99" spans="1:6">
      <c r="A99" s="1298" t="s">
        <v>72</v>
      </c>
      <c r="B99" s="1299">
        <v>58</v>
      </c>
      <c r="C99" s="326"/>
      <c r="D99" s="326"/>
      <c r="E99" s="326"/>
      <c r="F99" s="326"/>
    </row>
    <row r="100" spans="1:6">
      <c r="A100" s="1298" t="s">
        <v>73</v>
      </c>
      <c r="B100" s="1299">
        <v>226</v>
      </c>
      <c r="C100" s="326"/>
      <c r="D100" s="326"/>
      <c r="E100" s="326"/>
      <c r="F100" s="326"/>
    </row>
    <row r="101" spans="1:6">
      <c r="A101" s="1298" t="s">
        <v>74</v>
      </c>
      <c r="B101" s="1299">
        <v>79</v>
      </c>
      <c r="C101" s="326"/>
      <c r="D101" s="326"/>
      <c r="E101" s="326"/>
      <c r="F101" s="326"/>
    </row>
    <row r="102" spans="1:6">
      <c r="A102" s="1298" t="s">
        <v>75</v>
      </c>
      <c r="B102" s="1299">
        <v>57</v>
      </c>
      <c r="C102" s="326"/>
      <c r="D102" s="326"/>
      <c r="E102" s="326"/>
      <c r="F102" s="326"/>
    </row>
    <row r="103" spans="1:6">
      <c r="A103" s="1298" t="s">
        <v>76</v>
      </c>
      <c r="B103" s="1299">
        <v>102</v>
      </c>
      <c r="C103" s="326"/>
      <c r="D103" s="326"/>
      <c r="E103" s="326"/>
      <c r="F103" s="326"/>
    </row>
    <row r="104" spans="1:6">
      <c r="A104" s="1298" t="s">
        <v>77</v>
      </c>
      <c r="B104" s="1299">
        <v>3908</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64</v>
      </c>
      <c r="C123" s="1299">
        <v>53</v>
      </c>
      <c r="D123" s="326"/>
      <c r="E123" s="326"/>
      <c r="F123" s="326"/>
    </row>
    <row r="124" spans="1:6" s="43" customFormat="1">
      <c r="A124" s="1300" t="s">
        <v>88</v>
      </c>
      <c r="B124" s="1321">
        <v>3</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282</v>
      </c>
      <c r="C129" s="326"/>
      <c r="D129" s="326"/>
      <c r="E129" s="326"/>
      <c r="F129" s="326"/>
    </row>
    <row r="130" spans="1:6">
      <c r="A130" s="1298" t="s">
        <v>289</v>
      </c>
      <c r="B130" s="1299">
        <v>2</v>
      </c>
      <c r="C130" s="326"/>
      <c r="D130" s="326"/>
      <c r="E130" s="326"/>
      <c r="F130" s="326"/>
    </row>
    <row r="131" spans="1:6">
      <c r="A131" s="1298" t="s">
        <v>290</v>
      </c>
      <c r="B131" s="1299">
        <v>4</v>
      </c>
      <c r="C131" s="326"/>
      <c r="D131" s="326"/>
      <c r="E131" s="326"/>
      <c r="F131" s="326"/>
    </row>
    <row r="132" spans="1:6">
      <c r="A132" s="1293" t="s">
        <v>291</v>
      </c>
      <c r="B132" s="1294">
        <v>63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85975.539760210217</v>
      </c>
      <c r="C3" s="43" t="s">
        <v>169</v>
      </c>
      <c r="D3" s="43"/>
      <c r="E3" s="154"/>
      <c r="F3" s="43"/>
      <c r="G3" s="43"/>
      <c r="H3" s="43"/>
      <c r="I3" s="43"/>
      <c r="J3" s="43"/>
      <c r="K3" s="96"/>
    </row>
    <row r="4" spans="1:11">
      <c r="A4" s="354" t="s">
        <v>170</v>
      </c>
      <c r="B4" s="49">
        <f>IF(ISERROR('SEAP template'!B78+'SEAP template'!C78),0,'SEAP template'!B78+'SEAP template'!C78)</f>
        <v>21802.68904115144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0.1649562195069296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15411.857142857143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1173.1569999999999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1173.1569999999999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0.1649562195069296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193.519543608091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21135.5658</v>
      </c>
      <c r="C5" s="17">
        <f>IF(ISERROR('Eigen informatie GS &amp; warmtenet'!B59),0,'Eigen informatie GS &amp; warmtenet'!B59)</f>
        <v>0</v>
      </c>
      <c r="D5" s="30">
        <f>(SUM(HH_hh_gas_kWh,HH_rest_gas_kWh)/1000)*0.902</f>
        <v>41873.752828600002</v>
      </c>
      <c r="E5" s="17">
        <f>B32*B41</f>
        <v>2969.5215559323419</v>
      </c>
      <c r="F5" s="17">
        <f>B36*B45</f>
        <v>47872.645278770142</v>
      </c>
      <c r="G5" s="18"/>
      <c r="H5" s="17"/>
      <c r="I5" s="17"/>
      <c r="J5" s="17">
        <f>B35*B44+C35*C44</f>
        <v>191.24910727198187</v>
      </c>
      <c r="K5" s="17"/>
      <c r="L5" s="17"/>
      <c r="M5" s="17"/>
      <c r="N5" s="17">
        <f>B34*B43+C34*C43</f>
        <v>9652.8518983004305</v>
      </c>
      <c r="O5" s="17">
        <f>B52*B53*B54</f>
        <v>664.62600349465561</v>
      </c>
      <c r="P5" s="17">
        <f>B60*B61*B62/1000-B60*B61*B62/1000/B63</f>
        <v>1369.4147099990528</v>
      </c>
    </row>
    <row r="6" spans="1:16">
      <c r="A6" s="16" t="s">
        <v>604</v>
      </c>
      <c r="B6" s="778">
        <f>kWh_PV_kleiner_dan_10kW</f>
        <v>7614.1094376130623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28749.675237613061</v>
      </c>
      <c r="C8" s="21">
        <f>C5</f>
        <v>0</v>
      </c>
      <c r="D8" s="21">
        <f>D5</f>
        <v>41873.752828600002</v>
      </c>
      <c r="E8" s="21">
        <f>E5</f>
        <v>2969.5215559323419</v>
      </c>
      <c r="F8" s="21">
        <f>F5</f>
        <v>47872.645278770142</v>
      </c>
      <c r="G8" s="21"/>
      <c r="H8" s="21"/>
      <c r="I8" s="21"/>
      <c r="J8" s="21">
        <f>J5</f>
        <v>191.24910727198187</v>
      </c>
      <c r="K8" s="21"/>
      <c r="L8" s="21">
        <f>L5</f>
        <v>0</v>
      </c>
      <c r="M8" s="21">
        <f>M5</f>
        <v>0</v>
      </c>
      <c r="N8" s="21">
        <f>N5</f>
        <v>9652.8518983004305</v>
      </c>
      <c r="O8" s="21">
        <f>O5</f>
        <v>664.62600349465561</v>
      </c>
      <c r="P8" s="21">
        <f>P5</f>
        <v>1369.4147099990528</v>
      </c>
    </row>
    <row r="9" spans="1:16">
      <c r="B9" s="19"/>
      <c r="C9" s="19"/>
      <c r="D9" s="256"/>
      <c r="E9" s="19"/>
      <c r="F9" s="19"/>
      <c r="G9" s="19"/>
      <c r="H9" s="19"/>
      <c r="I9" s="19"/>
      <c r="J9" s="19"/>
      <c r="K9" s="19"/>
      <c r="L9" s="19"/>
      <c r="M9" s="19"/>
      <c r="N9" s="19"/>
      <c r="O9" s="19"/>
      <c r="P9" s="19"/>
    </row>
    <row r="10" spans="1:16">
      <c r="A10" s="24" t="s">
        <v>213</v>
      </c>
      <c r="B10" s="25">
        <f ca="1">'EF ele_warmte'!B12</f>
        <v>0.1649562195069296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4742.4377392486385</v>
      </c>
      <c r="C12" s="23">
        <f ca="1">C10*C8</f>
        <v>0</v>
      </c>
      <c r="D12" s="23">
        <f>D8*D10</f>
        <v>8458.4980713772002</v>
      </c>
      <c r="E12" s="23">
        <f>E10*E8</f>
        <v>674.08139319664167</v>
      </c>
      <c r="F12" s="23">
        <f>F10*F8</f>
        <v>12781.996289431629</v>
      </c>
      <c r="G12" s="23"/>
      <c r="H12" s="23"/>
      <c r="I12" s="23"/>
      <c r="J12" s="23">
        <f>J10*J8</f>
        <v>67.702183974281581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6721</v>
      </c>
      <c r="C26" s="36"/>
      <c r="D26" s="226"/>
    </row>
    <row r="27" spans="1:7" s="15" customFormat="1">
      <c r="A27" s="228" t="s">
        <v>806</v>
      </c>
      <c r="B27" s="37">
        <f>SUM(HH_hh_gas_aantal,HH_rest_gas_aantal)</f>
        <v>3314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3148.3</v>
      </c>
      <c r="C31" s="166" t="s">
        <v>110</v>
      </c>
      <c r="D31" s="231"/>
      <c r="G31" s="15"/>
    </row>
    <row r="32" spans="1:7">
      <c r="A32" s="169" t="s">
        <v>72</v>
      </c>
      <c r="B32" s="166">
        <f>IF((B21*($B$26-($B$27-0.05*$B$27)-$B$60))&lt;0,0,B21*($B$26-($B$27-0.05*$B$27)-$B$60))</f>
        <v>54.653546543608982</v>
      </c>
      <c r="C32" s="166" t="s">
        <v>110</v>
      </c>
      <c r="D32" s="231"/>
      <c r="G32" s="15"/>
    </row>
    <row r="33" spans="1:7">
      <c r="A33" s="169" t="s">
        <v>73</v>
      </c>
      <c r="B33" s="166">
        <f>IF((B22*($B$26-($B$27-0.05*$B$27)-$B$60))&lt;0,0,B22*($B$26-($B$27-0.05*$B$27)-$B$60))</f>
        <v>887.46535333122222</v>
      </c>
      <c r="C33" s="166" t="s">
        <v>110</v>
      </c>
      <c r="D33" s="231"/>
      <c r="G33" s="15"/>
    </row>
    <row r="34" spans="1:7">
      <c r="A34" s="169" t="s">
        <v>74</v>
      </c>
      <c r="B34" s="166">
        <f>IF((B24*($B$26-($B$27-0.05*$B$27)-$B$60))&lt;0,0,B24*($B$26-($B$27-0.05*$B$27)-$B$60))</f>
        <v>170.13898470682261</v>
      </c>
      <c r="C34" s="166">
        <f>B26*C24</f>
        <v>1377.1728214397833</v>
      </c>
      <c r="D34" s="231"/>
      <c r="G34" s="15"/>
    </row>
    <row r="35" spans="1:7">
      <c r="A35" s="169" t="s">
        <v>76</v>
      </c>
      <c r="B35" s="166">
        <f>IF((B19*($B$26-($B$27-0.05*$B$27)-$B$60))&lt;0,0,B19*($B$26-($B$27-0.05*$B$27)-$B$60))</f>
        <v>23.757766384885436</v>
      </c>
      <c r="C35" s="166">
        <f>B35/2</f>
        <v>11.878883192442718</v>
      </c>
      <c r="D35" s="232"/>
      <c r="G35" s="15"/>
    </row>
    <row r="36" spans="1:7">
      <c r="A36" s="169" t="s">
        <v>77</v>
      </c>
      <c r="B36" s="166">
        <f>IF((B18*($B$26-($B$27-0.05*$B$27)-$B$60))&lt;0,0,B18*($B$26-($B$27-0.05*$B$27)-$B$60))</f>
        <v>2306.68434903346</v>
      </c>
      <c r="C36" s="166" t="s">
        <v>110</v>
      </c>
      <c r="D36" s="232"/>
      <c r="G36" s="15"/>
    </row>
    <row r="37" spans="1:7">
      <c r="A37" s="169" t="s">
        <v>78</v>
      </c>
      <c r="B37" s="166">
        <f>B60</f>
        <v>130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335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130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36268.320111000001</v>
      </c>
      <c r="C5" s="17">
        <f>IF(ISERROR('Eigen informatie GS &amp; warmtenet'!B60),0,'Eigen informatie GS &amp; warmtenet'!B60)</f>
        <v>0</v>
      </c>
      <c r="D5" s="30">
        <f>SUM(D6:D12)</f>
        <v>41095.114916327992</v>
      </c>
      <c r="E5" s="17">
        <f>SUM(E6:E12)</f>
        <v>461.64454011376688</v>
      </c>
      <c r="F5" s="17">
        <f>SUM(F6:F12)</f>
        <v>4248.3848188414531</v>
      </c>
      <c r="G5" s="18"/>
      <c r="H5" s="17"/>
      <c r="I5" s="17"/>
      <c r="J5" s="17">
        <f>SUM(J6:J12)</f>
        <v>6.0111360623684981E-2</v>
      </c>
      <c r="K5" s="17"/>
      <c r="L5" s="17"/>
      <c r="M5" s="17"/>
      <c r="N5" s="17">
        <f>SUM(N6:N12)</f>
        <v>2366.2209113451418</v>
      </c>
      <c r="O5" s="17">
        <f>B38*B39*B40</f>
        <v>9.7945215316823084</v>
      </c>
      <c r="P5" s="17">
        <f>B46*B47*B48/1000-B46*B47*B48/1000/B49</f>
        <v>262.69569153247511</v>
      </c>
      <c r="R5" s="32"/>
    </row>
    <row r="6" spans="1:18">
      <c r="A6" s="32" t="s">
        <v>53</v>
      </c>
      <c r="B6" s="37">
        <f>B26</f>
        <v>4124.1611830000002</v>
      </c>
      <c r="C6" s="33"/>
      <c r="D6" s="37">
        <f>IF(ISERROR(TER_kantoor_gas_kWh/1000),0,TER_kantoor_gas_kWh/1000)*0.902</f>
        <v>3079.7359879000005</v>
      </c>
      <c r="E6" s="33">
        <f>$C$26*'E Balans VL '!I12/100/3.6*1000000</f>
        <v>33.185802729350961</v>
      </c>
      <c r="F6" s="33">
        <f>$C$26*('E Balans VL '!L12+'E Balans VL '!N12)/100/3.6*1000000</f>
        <v>504.22208940840267</v>
      </c>
      <c r="G6" s="34"/>
      <c r="H6" s="33"/>
      <c r="I6" s="33"/>
      <c r="J6" s="33">
        <f>$C$26*('E Balans VL '!D12+'E Balans VL '!E12)/100/3.6*1000000</f>
        <v>0</v>
      </c>
      <c r="K6" s="33"/>
      <c r="L6" s="33"/>
      <c r="M6" s="33"/>
      <c r="N6" s="33">
        <f>$C$26*'E Balans VL '!Y12/100/3.6*1000000</f>
        <v>2.2165335429059017</v>
      </c>
      <c r="O6" s="33"/>
      <c r="P6" s="33"/>
      <c r="R6" s="32"/>
    </row>
    <row r="7" spans="1:18">
      <c r="A7" s="32" t="s">
        <v>52</v>
      </c>
      <c r="B7" s="37">
        <f t="shared" ref="B7:B12" si="0">B27</f>
        <v>18627.067300000002</v>
      </c>
      <c r="C7" s="33"/>
      <c r="D7" s="37">
        <f>IF(ISERROR(TER_horeca_gas_kWh/1000),0,TER_horeca_gas_kWh/1000)*0.902</f>
        <v>25428.711351999998</v>
      </c>
      <c r="E7" s="33">
        <f>$C$27*'E Balans VL '!I9/100/3.6*1000000</f>
        <v>200.00896272137035</v>
      </c>
      <c r="F7" s="33">
        <f>$C$27*('E Balans VL '!L9+'E Balans VL '!N9)/100/3.6*1000000</f>
        <v>2240.3845141590396</v>
      </c>
      <c r="G7" s="34"/>
      <c r="H7" s="33"/>
      <c r="I7" s="33"/>
      <c r="J7" s="33">
        <f>$C$27*('E Balans VL '!D9+'E Balans VL '!E9)/100/3.6*1000000</f>
        <v>0</v>
      </c>
      <c r="K7" s="33"/>
      <c r="L7" s="33"/>
      <c r="M7" s="33"/>
      <c r="N7" s="33">
        <f>$C$27*'E Balans VL '!Y9/100/3.6*1000000</f>
        <v>2.7925749150938617</v>
      </c>
      <c r="O7" s="33"/>
      <c r="P7" s="33"/>
      <c r="R7" s="32"/>
    </row>
    <row r="8" spans="1:18">
      <c r="A8" s="6" t="s">
        <v>51</v>
      </c>
      <c r="B8" s="37">
        <f t="shared" si="0"/>
        <v>7230.7082289999998</v>
      </c>
      <c r="C8" s="33"/>
      <c r="D8" s="37">
        <f>IF(ISERROR(TER_handel_gas_kWh/1000),0,TER_handel_gas_kWh/1000)*0.902</f>
        <v>4371.2314491999996</v>
      </c>
      <c r="E8" s="33">
        <f>$C$28*'E Balans VL '!I13/100/3.6*1000000</f>
        <v>194.05007226785946</v>
      </c>
      <c r="F8" s="33">
        <f>$C$28*('E Balans VL '!L13+'E Balans VL '!N13)/100/3.6*1000000</f>
        <v>690.03242122050926</v>
      </c>
      <c r="G8" s="34"/>
      <c r="H8" s="33"/>
      <c r="I8" s="33"/>
      <c r="J8" s="33">
        <f>$C$28*('E Balans VL '!D13+'E Balans VL '!E13)/100/3.6*1000000</f>
        <v>0</v>
      </c>
      <c r="K8" s="33"/>
      <c r="L8" s="33"/>
      <c r="M8" s="33"/>
      <c r="N8" s="33">
        <f>$C$28*'E Balans VL '!Y13/100/3.6*1000000</f>
        <v>2.8663349579154618</v>
      </c>
      <c r="O8" s="33"/>
      <c r="P8" s="33"/>
      <c r="R8" s="32"/>
    </row>
    <row r="9" spans="1:18">
      <c r="A9" s="32" t="s">
        <v>50</v>
      </c>
      <c r="B9" s="37">
        <f t="shared" si="0"/>
        <v>1738.5381710000001</v>
      </c>
      <c r="C9" s="33"/>
      <c r="D9" s="37">
        <f>IF(ISERROR(TER_gezond_gas_kWh/1000),0,TER_gezond_gas_kWh/1000)*0.902</f>
        <v>4459.8824572280009</v>
      </c>
      <c r="E9" s="33">
        <f>$C$29*'E Balans VL '!I10/100/3.6*1000000</f>
        <v>3.2585866250643685</v>
      </c>
      <c r="F9" s="33">
        <f>$C$29*('E Balans VL '!L10+'E Balans VL '!N10)/100/3.6*1000000</f>
        <v>142.92370059471841</v>
      </c>
      <c r="G9" s="34"/>
      <c r="H9" s="33"/>
      <c r="I9" s="33"/>
      <c r="J9" s="33">
        <f>$C$29*('E Balans VL '!D10+'E Balans VL '!E10)/100/3.6*1000000</f>
        <v>0</v>
      </c>
      <c r="K9" s="33"/>
      <c r="L9" s="33"/>
      <c r="M9" s="33"/>
      <c r="N9" s="33">
        <f>$C$29*'E Balans VL '!Y10/100/3.6*1000000</f>
        <v>13.527124106237066</v>
      </c>
      <c r="O9" s="33"/>
      <c r="P9" s="33"/>
      <c r="R9" s="32"/>
    </row>
    <row r="10" spans="1:18">
      <c r="A10" s="32" t="s">
        <v>49</v>
      </c>
      <c r="B10" s="37">
        <f t="shared" si="0"/>
        <v>3540.95</v>
      </c>
      <c r="C10" s="33"/>
      <c r="D10" s="37">
        <f>IF(ISERROR(TER_ander_gas_kWh/1000),0,TER_ander_gas_kWh/1000)*0.902</f>
        <v>1127.9356660000001</v>
      </c>
      <c r="E10" s="33">
        <f>$C$30*'E Balans VL '!I14/100/3.6*1000000</f>
        <v>5.4584103048919594</v>
      </c>
      <c r="F10" s="33">
        <f>$C$30*('E Balans VL '!L14+'E Balans VL '!N14)/100/3.6*1000000</f>
        <v>549.73346503299115</v>
      </c>
      <c r="G10" s="34"/>
      <c r="H10" s="33"/>
      <c r="I10" s="33"/>
      <c r="J10" s="33">
        <f>$C$30*('E Balans VL '!D14+'E Balans VL '!E14)/100/3.6*1000000</f>
        <v>6.0111360623684981E-2</v>
      </c>
      <c r="K10" s="33"/>
      <c r="L10" s="33"/>
      <c r="M10" s="33"/>
      <c r="N10" s="33">
        <f>$C$30*'E Balans VL '!Y14/100/3.6*1000000</f>
        <v>2342.5790334043727</v>
      </c>
      <c r="O10" s="33"/>
      <c r="P10" s="33"/>
      <c r="R10" s="32"/>
    </row>
    <row r="11" spans="1:18">
      <c r="A11" s="32" t="s">
        <v>54</v>
      </c>
      <c r="B11" s="37">
        <f t="shared" si="0"/>
        <v>1006.895228</v>
      </c>
      <c r="C11" s="33"/>
      <c r="D11" s="37">
        <f>IF(ISERROR(TER_onderwijs_gas_kWh/1000),0,TER_onderwijs_gas_kWh/1000)*0.902</f>
        <v>2627.6180039999999</v>
      </c>
      <c r="E11" s="33">
        <f>$C$31*'E Balans VL '!I11/100/3.6*1000000</f>
        <v>25.682705465229713</v>
      </c>
      <c r="F11" s="33">
        <f>$C$31*('E Balans VL '!L11+'E Balans VL '!N11)/100/3.6*1000000</f>
        <v>121.08862842579259</v>
      </c>
      <c r="G11" s="34"/>
      <c r="H11" s="33"/>
      <c r="I11" s="33"/>
      <c r="J11" s="33">
        <f>$C$31*('E Balans VL '!D11+'E Balans VL '!E11)/100/3.6*1000000</f>
        <v>0</v>
      </c>
      <c r="K11" s="33"/>
      <c r="L11" s="33"/>
      <c r="M11" s="33"/>
      <c r="N11" s="33">
        <f>$C$31*'E Balans VL '!Y11/100/3.6*1000000</f>
        <v>2.2393104186167383</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energieproductie'!N40+'lokale energieproductie'!N33</f>
        <v>0</v>
      </c>
      <c r="C13" s="245">
        <f ca="1">'lokale energieproductie'!O40+'lokale energieproductie'!O33</f>
        <v>0</v>
      </c>
      <c r="D13" s="304">
        <f ca="1">('lokale energieproductie'!P33+'lokale energieproductie'!P40)*(-1)</f>
        <v>0</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36268.320111000001</v>
      </c>
      <c r="C16" s="21">
        <f t="shared" ca="1" si="1"/>
        <v>0</v>
      </c>
      <c r="D16" s="21">
        <f t="shared" ca="1" si="1"/>
        <v>41095.114916327992</v>
      </c>
      <c r="E16" s="21">
        <f t="shared" si="1"/>
        <v>461.64454011376688</v>
      </c>
      <c r="F16" s="21">
        <f t="shared" ca="1" si="1"/>
        <v>4248.3848188414531</v>
      </c>
      <c r="G16" s="21">
        <f t="shared" si="1"/>
        <v>0</v>
      </c>
      <c r="H16" s="21">
        <f t="shared" si="1"/>
        <v>0</v>
      </c>
      <c r="I16" s="21">
        <f t="shared" si="1"/>
        <v>0</v>
      </c>
      <c r="J16" s="21">
        <f t="shared" si="1"/>
        <v>6.0111360623684981E-2</v>
      </c>
      <c r="K16" s="21">
        <f t="shared" si="1"/>
        <v>0</v>
      </c>
      <c r="L16" s="21">
        <f t="shared" ca="1" si="1"/>
        <v>0</v>
      </c>
      <c r="M16" s="21">
        <f t="shared" si="1"/>
        <v>0</v>
      </c>
      <c r="N16" s="21">
        <f t="shared" ca="1" si="1"/>
        <v>2366.2209113451418</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0.1649562195069296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5982.6849733777053</v>
      </c>
      <c r="C20" s="23">
        <f t="shared" ref="C20:P20" ca="1" si="2">C16*C18</f>
        <v>0</v>
      </c>
      <c r="D20" s="23">
        <f t="shared" ca="1" si="2"/>
        <v>8301.2132130982554</v>
      </c>
      <c r="E20" s="23">
        <f t="shared" si="2"/>
        <v>104.79331060582508</v>
      </c>
      <c r="F20" s="23">
        <f t="shared" ca="1" si="2"/>
        <v>1134.3187466306681</v>
      </c>
      <c r="G20" s="23">
        <f t="shared" si="2"/>
        <v>0</v>
      </c>
      <c r="H20" s="23">
        <f t="shared" si="2"/>
        <v>0</v>
      </c>
      <c r="I20" s="23">
        <f t="shared" si="2"/>
        <v>0</v>
      </c>
      <c r="J20" s="23">
        <f t="shared" si="2"/>
        <v>2.1279421660784482E-2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4124.1611830000002</v>
      </c>
      <c r="C26" s="39">
        <f>IF(ISERROR(B26*3.6/1000000/'E Balans VL '!Z12*100),0,B26*3.6/1000000/'E Balans VL '!Z12*100)</f>
        <v>8.7490306323149983E-2</v>
      </c>
      <c r="D26" s="235" t="s">
        <v>698</v>
      </c>
      <c r="F26" s="6"/>
    </row>
    <row r="27" spans="1:18">
      <c r="A27" s="229" t="s">
        <v>52</v>
      </c>
      <c r="B27" s="33">
        <f>IF(ISERROR(TER_horeca_ele_kWh/1000),0,TER_horeca_ele_kWh/1000)</f>
        <v>18627.067300000002</v>
      </c>
      <c r="C27" s="39">
        <f>IF(ISERROR(B27*3.6/1000000/'E Balans VL '!Z9*100),0,B27*3.6/1000000/'E Balans VL '!Z9*100)</f>
        <v>1.4027831756878262</v>
      </c>
      <c r="D27" s="235" t="s">
        <v>698</v>
      </c>
      <c r="F27" s="6"/>
    </row>
    <row r="28" spans="1:18">
      <c r="A28" s="169" t="s">
        <v>51</v>
      </c>
      <c r="B28" s="33">
        <f>IF(ISERROR(TER_handel_ele_kWh/1000),0,TER_handel_ele_kWh/1000)</f>
        <v>7230.7082289999998</v>
      </c>
      <c r="C28" s="39">
        <f>IF(ISERROR(B28*3.6/1000000/'E Balans VL '!Z13*100),0,B28*3.6/1000000/'E Balans VL '!Z13*100)</f>
        <v>0.20988183948966499</v>
      </c>
      <c r="D28" s="235" t="s">
        <v>698</v>
      </c>
      <c r="F28" s="6"/>
    </row>
    <row r="29" spans="1:18">
      <c r="A29" s="229" t="s">
        <v>50</v>
      </c>
      <c r="B29" s="33">
        <f>IF(ISERROR(TER_gezond_ele_kWh/1000),0,TER_gezond_ele_kWh/1000)</f>
        <v>1738.5381710000001</v>
      </c>
      <c r="C29" s="39">
        <f>IF(ISERROR(B29*3.6/1000000/'E Balans VL '!Z10*100),0,B29*3.6/1000000/'E Balans VL '!Z10*100)</f>
        <v>0.17533364783656225</v>
      </c>
      <c r="D29" s="235" t="s">
        <v>698</v>
      </c>
      <c r="F29" s="6"/>
    </row>
    <row r="30" spans="1:18">
      <c r="A30" s="229" t="s">
        <v>49</v>
      </c>
      <c r="B30" s="33">
        <f>IF(ISERROR(TER_ander_ele_kWh/1000),0,TER_ander_ele_kWh/1000)</f>
        <v>3540.95</v>
      </c>
      <c r="C30" s="39">
        <f>IF(ISERROR(B30*3.6/1000000/'E Balans VL '!Z14*100),0,B30*3.6/1000000/'E Balans VL '!Z14*100)</f>
        <v>0.25694422991541022</v>
      </c>
      <c r="D30" s="235" t="s">
        <v>698</v>
      </c>
      <c r="F30" s="6"/>
    </row>
    <row r="31" spans="1:18">
      <c r="A31" s="229" t="s">
        <v>54</v>
      </c>
      <c r="B31" s="33">
        <f>IF(ISERROR(TER_onderwijs_ele_kWh/1000),0,TER_onderwijs_ele_kWh/1000)</f>
        <v>1006.895228</v>
      </c>
      <c r="C31" s="39">
        <f>IF(ISERROR(B31*3.6/1000000/'E Balans VL '!Z11*100),0,B31*3.6/1000000/'E Balans VL '!Z11*100)</f>
        <v>0.2870061426629178</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5</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4769.8618150000002</v>
      </c>
      <c r="C5" s="17">
        <f>IF(ISERROR('Eigen informatie GS &amp; warmtenet'!B61),0,'Eigen informatie GS &amp; warmtenet'!B61)</f>
        <v>0</v>
      </c>
      <c r="D5" s="30">
        <f>SUM(D6:D15)</f>
        <v>2210.3912292000005</v>
      </c>
      <c r="E5" s="17">
        <f>SUM(E6:E15)</f>
        <v>589.23040232280368</v>
      </c>
      <c r="F5" s="17">
        <f>SUM(F6:F15)</f>
        <v>1825.720633618384</v>
      </c>
      <c r="G5" s="18"/>
      <c r="H5" s="17"/>
      <c r="I5" s="17"/>
      <c r="J5" s="17">
        <f>SUM(J6:J15)</f>
        <v>197.53080297022538</v>
      </c>
      <c r="K5" s="17"/>
      <c r="L5" s="17"/>
      <c r="M5" s="17"/>
      <c r="N5" s="17">
        <f>SUM(N6:N15)</f>
        <v>178.0994702008542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453.92399999999998</v>
      </c>
      <c r="C8" s="33"/>
      <c r="D8" s="37">
        <f>IF( ISERROR(IND_metaal_Gas_kWH/1000),0,IND_metaal_Gas_kWH/1000)*0.902</f>
        <v>206.24049600000001</v>
      </c>
      <c r="E8" s="33">
        <f>C30*'E Balans VL '!I18/100/3.6*1000000</f>
        <v>3.2747430663611774</v>
      </c>
      <c r="F8" s="33">
        <f>C30*'E Balans VL '!L18/100/3.6*1000000+C30*'E Balans VL '!N18/100/3.6*1000000</f>
        <v>42.932840627744319</v>
      </c>
      <c r="G8" s="34"/>
      <c r="H8" s="33"/>
      <c r="I8" s="33"/>
      <c r="J8" s="40">
        <f>C30*'E Balans VL '!D18/100/3.6*1000000+C30*'E Balans VL '!E18/100/3.6*1000000</f>
        <v>0.45655939704229404</v>
      </c>
      <c r="K8" s="33"/>
      <c r="L8" s="33"/>
      <c r="M8" s="33"/>
      <c r="N8" s="33">
        <f>C30*'E Balans VL '!Y18/100/3.6*1000000</f>
        <v>5.7388003243370518</v>
      </c>
      <c r="O8" s="33"/>
      <c r="P8" s="33"/>
      <c r="R8" s="32"/>
    </row>
    <row r="9" spans="1:18">
      <c r="A9" s="6" t="s">
        <v>32</v>
      </c>
      <c r="B9" s="37">
        <f t="shared" si="0"/>
        <v>2065.1927000000001</v>
      </c>
      <c r="C9" s="33"/>
      <c r="D9" s="37">
        <f>IF( ISERROR(IND_andere_gas_kWh/1000),0,IND_andere_gas_kWh/1000)*0.902</f>
        <v>1469.8185612000002</v>
      </c>
      <c r="E9" s="33">
        <f>C31*'E Balans VL '!I19/100/3.6*1000000</f>
        <v>572.29251225607868</v>
      </c>
      <c r="F9" s="33">
        <f>C31*'E Balans VL '!L19/100/3.6*1000000+C31*'E Balans VL '!N19/100/3.6*1000000</f>
        <v>1711.6361726758205</v>
      </c>
      <c r="G9" s="34"/>
      <c r="H9" s="33"/>
      <c r="I9" s="33"/>
      <c r="J9" s="40">
        <f>C31*'E Balans VL '!D19/100/3.6*1000000+C31*'E Balans VL '!E19/100/3.6*1000000</f>
        <v>0</v>
      </c>
      <c r="K9" s="33"/>
      <c r="L9" s="33"/>
      <c r="M9" s="33"/>
      <c r="N9" s="33">
        <f>C31*'E Balans VL '!Y19/100/3.6*1000000</f>
        <v>149.90772997867077</v>
      </c>
      <c r="O9" s="33"/>
      <c r="P9" s="33"/>
      <c r="R9" s="32"/>
    </row>
    <row r="10" spans="1:18">
      <c r="A10" s="6" t="s">
        <v>40</v>
      </c>
      <c r="B10" s="37">
        <f t="shared" si="0"/>
        <v>211.53899999999999</v>
      </c>
      <c r="C10" s="33"/>
      <c r="D10" s="37">
        <f>IF( ISERROR(IND_voed_gas_kWh/1000),0,IND_voed_gas_kWh/1000)*0.902</f>
        <v>164.52840800000001</v>
      </c>
      <c r="E10" s="33">
        <f>C32*'E Balans VL '!I20/100/3.6*1000000</f>
        <v>0.37449568285316959</v>
      </c>
      <c r="F10" s="33">
        <f>C32*'E Balans VL '!L20/100/3.6*1000000+C32*'E Balans VL '!N20/100/3.6*1000000</f>
        <v>11.42498085333929</v>
      </c>
      <c r="G10" s="34"/>
      <c r="H10" s="33"/>
      <c r="I10" s="33"/>
      <c r="J10" s="40">
        <f>C32*'E Balans VL '!D20/100/3.6*1000000+C32*'E Balans VL '!E20/100/3.6*1000000</f>
        <v>0</v>
      </c>
      <c r="K10" s="33"/>
      <c r="L10" s="33"/>
      <c r="M10" s="33"/>
      <c r="N10" s="33">
        <f>C32*'E Balans VL '!Y20/100/3.6*1000000</f>
        <v>12.292031443474107</v>
      </c>
      <c r="O10" s="33"/>
      <c r="P10" s="33"/>
      <c r="R10" s="32"/>
    </row>
    <row r="11" spans="1:18">
      <c r="A11" s="6" t="s">
        <v>39</v>
      </c>
      <c r="B11" s="37">
        <f t="shared" si="0"/>
        <v>31.472000000000001</v>
      </c>
      <c r="C11" s="33"/>
      <c r="D11" s="37">
        <f>IF( ISERROR(IND_textiel_gas_kWh/1000),0,IND_textiel_gas_kWh/1000)*0.902</f>
        <v>0</v>
      </c>
      <c r="E11" s="33">
        <f>C33*'E Balans VL '!I21/100/3.6*1000000</f>
        <v>0.11094206663529889</v>
      </c>
      <c r="F11" s="33">
        <f>C33*'E Balans VL '!L21/100/3.6*1000000+C33*'E Balans VL '!N21/100/3.6*1000000</f>
        <v>0.9237502620121163</v>
      </c>
      <c r="G11" s="34"/>
      <c r="H11" s="33"/>
      <c r="I11" s="33"/>
      <c r="J11" s="40">
        <f>C33*'E Balans VL '!D21/100/3.6*1000000+C33*'E Balans VL '!E21/100/3.6*1000000</f>
        <v>0</v>
      </c>
      <c r="K11" s="33"/>
      <c r="L11" s="33"/>
      <c r="M11" s="33"/>
      <c r="N11" s="33">
        <f>C33*'E Balans VL '!Y21/100/3.6*1000000</f>
        <v>1.3866518149003852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1784.4580000000001</v>
      </c>
      <c r="C13" s="33"/>
      <c r="D13" s="37">
        <f>IF( ISERROR(IND_papier_gas_kWh/1000),0,IND_papier_gas_kWh/1000)*0.902</f>
        <v>0</v>
      </c>
      <c r="E13" s="33">
        <f>C35*'E Balans VL '!I23/100/3.6*1000000</f>
        <v>2.625550465502255</v>
      </c>
      <c r="F13" s="33">
        <f>C35*'E Balans VL '!L23/100/3.6*1000000+C35*'E Balans VL '!N23/100/3.6*1000000</f>
        <v>19.10673879154378</v>
      </c>
      <c r="G13" s="34"/>
      <c r="H13" s="33"/>
      <c r="I13" s="33"/>
      <c r="J13" s="40">
        <f>C35*'E Balans VL '!D23/100/3.6*1000000+C35*'E Balans VL '!E23/100/3.6*1000000</f>
        <v>195.22971191682089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223.276115</v>
      </c>
      <c r="C15" s="33"/>
      <c r="D15" s="37">
        <f>IF( ISERROR(IND_rest_gas_kWh/1000),0,IND_rest_gas_kWh/1000)*0.902</f>
        <v>369.80376400000006</v>
      </c>
      <c r="E15" s="33">
        <f>C37*'E Balans VL '!I15/100/3.6*1000000</f>
        <v>10.552158785373059</v>
      </c>
      <c r="F15" s="33">
        <f>C37*'E Balans VL '!L15/100/3.6*1000000+C37*'E Balans VL '!N15/100/3.6*1000000</f>
        <v>39.696150407923781</v>
      </c>
      <c r="G15" s="34"/>
      <c r="H15" s="33"/>
      <c r="I15" s="33"/>
      <c r="J15" s="40">
        <f>C37*'E Balans VL '!D15/100/3.6*1000000+C37*'E Balans VL '!E15/100/3.6*1000000</f>
        <v>1.8445316563621832</v>
      </c>
      <c r="K15" s="33"/>
      <c r="L15" s="33"/>
      <c r="M15" s="33"/>
      <c r="N15" s="33">
        <f>C37*'E Balans VL '!Y15/100/3.6*1000000</f>
        <v>8.7742566394718704</v>
      </c>
      <c r="O15" s="33"/>
      <c r="P15" s="33"/>
      <c r="R15" s="32"/>
    </row>
    <row r="16" spans="1:18">
      <c r="A16" s="16" t="s">
        <v>471</v>
      </c>
      <c r="B16" s="245">
        <f>'lokale energieproductie'!N39+'lokale energieproductie'!N32</f>
        <v>10701</v>
      </c>
      <c r="C16" s="245">
        <f>'lokale energieproductie'!O39+'lokale energieproductie'!O32</f>
        <v>15287.142857142857</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-30574.285714285717</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15470.861815</v>
      </c>
      <c r="C18" s="21">
        <f>C5+C16</f>
        <v>15287.142857142857</v>
      </c>
      <c r="D18" s="21">
        <f>MAX((D5+D16),0)</f>
        <v>2210.3912292000005</v>
      </c>
      <c r="E18" s="21">
        <f>MAX((E5+E16),0)</f>
        <v>589.23040232280368</v>
      </c>
      <c r="F18" s="21">
        <f>MAX((F5+F16),0)</f>
        <v>1825.720633618384</v>
      </c>
      <c r="G18" s="21"/>
      <c r="H18" s="21"/>
      <c r="I18" s="21"/>
      <c r="J18" s="21">
        <f>MAX((J5+J16),0)</f>
        <v>197.53080297022538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0.1649562195069296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2552.0148775165153</v>
      </c>
      <c r="C22" s="23">
        <f ca="1">C18*C20</f>
        <v>0</v>
      </c>
      <c r="D22" s="23">
        <f>D18*D20</f>
        <v>446.49902829840011</v>
      </c>
      <c r="E22" s="23">
        <f>E18*E20</f>
        <v>133.75530132727644</v>
      </c>
      <c r="F22" s="23">
        <f>F18*F20</f>
        <v>487.46740917610856</v>
      </c>
      <c r="G22" s="23"/>
      <c r="H22" s="23"/>
      <c r="I22" s="23"/>
      <c r="J22" s="23">
        <f>J18*J20</f>
        <v>69.925904251459784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453.92399999999998</v>
      </c>
      <c r="C30" s="39">
        <f>IF(ISERROR(B30*3.6/1000000/'E Balans VL '!Z18*100),0,B30*3.6/1000000/'E Balans VL '!Z18*100)</f>
        <v>2.6204324240745241E-2</v>
      </c>
      <c r="D30" s="235" t="s">
        <v>698</v>
      </c>
    </row>
    <row r="31" spans="1:18">
      <c r="A31" s="6" t="s">
        <v>32</v>
      </c>
      <c r="B31" s="37">
        <f>IF( ISERROR(IND_ander_ele_kWh/1000),0,IND_ander_ele_kWh/1000)</f>
        <v>2065.1927000000001</v>
      </c>
      <c r="C31" s="39">
        <f>IF(ISERROR(B31*3.6/1000000/'E Balans VL '!Z19*100),0,B31*3.6/1000000/'E Balans VL '!Z19*100)</f>
        <v>0.10387249874706361</v>
      </c>
      <c r="D31" s="235" t="s">
        <v>698</v>
      </c>
    </row>
    <row r="32" spans="1:18">
      <c r="A32" s="169" t="s">
        <v>40</v>
      </c>
      <c r="B32" s="37">
        <f>IF( ISERROR(IND_voed_ele_kWh/1000),0,IND_voed_ele_kWh/1000)</f>
        <v>211.53899999999999</v>
      </c>
      <c r="C32" s="39">
        <f>IF(ISERROR(B32*3.6/1000000/'E Balans VL '!Z20*100),0,B32*3.6/1000000/'E Balans VL '!Z20*100)</f>
        <v>7.0455048710617299E-3</v>
      </c>
      <c r="D32" s="235" t="s">
        <v>698</v>
      </c>
    </row>
    <row r="33" spans="1:5">
      <c r="A33" s="169" t="s">
        <v>39</v>
      </c>
      <c r="B33" s="37">
        <f>IF( ISERROR(IND_textiel_ele_kWh/1000),0,IND_textiel_ele_kWh/1000)</f>
        <v>31.472000000000001</v>
      </c>
      <c r="C33" s="39">
        <f>IF(ISERROR(B33*3.6/1000000/'E Balans VL '!Z21*100),0,B33*3.6/1000000/'E Balans VL '!Z21*100)</f>
        <v>4.9068853577249544E-3</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1784.4580000000001</v>
      </c>
      <c r="C35" s="39">
        <f>IF(ISERROR(B35*3.6/1000000/'E Balans VL '!Z22*100),0,B35*3.6/1000000/'E Balans VL '!Z22*100)</f>
        <v>0.33286168949273109</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223.276115</v>
      </c>
      <c r="C37" s="39">
        <f>IF(ISERROR(B37*3.6/1000000/'E Balans VL '!Z15*100),0,B37*3.6/1000000/'E Balans VL '!Z15*100)</f>
        <v>1.7421642748287555E-3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3775.0610879999999</v>
      </c>
      <c r="C5" s="17">
        <f>'Eigen informatie GS &amp; warmtenet'!B62</f>
        <v>0</v>
      </c>
      <c r="D5" s="30">
        <f>IF(ISERROR(SUM(LB_lb_gas_kWh,LB_rest_gas_kWh)/1000),0,SUM(LB_lb_gas_kWh,LB_rest_gas_kWh)/1000)*0.902</f>
        <v>128.17510200000001</v>
      </c>
      <c r="E5" s="17">
        <f>B17*'E Balans VL '!I25/3.6*1000000/100</f>
        <v>117.81841169490912</v>
      </c>
      <c r="F5" s="17">
        <f>B17*('E Balans VL '!L25/3.6*1000000+'E Balans VL '!N25/3.6*1000000)/100</f>
        <v>13341.484074978234</v>
      </c>
      <c r="G5" s="18"/>
      <c r="H5" s="17"/>
      <c r="I5" s="17"/>
      <c r="J5" s="17">
        <f>('E Balans VL '!D25+'E Balans VL '!E25)/3.6*1000000*landbouw!B17/100</f>
        <v>1040.0555095632069</v>
      </c>
      <c r="K5" s="17"/>
      <c r="L5" s="17">
        <f>L6*(-1)</f>
        <v>0</v>
      </c>
      <c r="M5" s="17"/>
      <c r="N5" s="17">
        <f>N6*(-1)</f>
        <v>249.42857142857139</v>
      </c>
      <c r="O5" s="17"/>
      <c r="P5" s="17"/>
      <c r="R5" s="32"/>
    </row>
    <row r="6" spans="1:18">
      <c r="A6" s="16" t="s">
        <v>471</v>
      </c>
      <c r="B6" s="17" t="s">
        <v>210</v>
      </c>
      <c r="C6" s="17">
        <f>'lokale energieproductie'!O41+'lokale energieproductie'!O34</f>
        <v>124.71428571428569</v>
      </c>
      <c r="D6" s="304">
        <f>('lokale energieproductie'!P34+'lokale energieproductie'!P41)*(-1)</f>
        <v>0</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-249.42857142857139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3775.0610879999999</v>
      </c>
      <c r="C8" s="21">
        <f>C5+C6</f>
        <v>124.71428571428569</v>
      </c>
      <c r="D8" s="21">
        <f>MAX((D5+D6),0)</f>
        <v>128.17510200000001</v>
      </c>
      <c r="E8" s="21">
        <f>MAX((E5+E6),0)</f>
        <v>117.81841169490912</v>
      </c>
      <c r="F8" s="21">
        <f>MAX((F5+F6),0)</f>
        <v>13341.484074978234</v>
      </c>
      <c r="G8" s="21"/>
      <c r="H8" s="21"/>
      <c r="I8" s="21"/>
      <c r="J8" s="21">
        <f>MAX((J5+J6),0)</f>
        <v>1040.0555095632069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0.1649562195069296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622.7198054841964</v>
      </c>
      <c r="C12" s="23">
        <f ca="1">C8*C10</f>
        <v>0</v>
      </c>
      <c r="D12" s="23">
        <f>D8*D10</f>
        <v>25.891370604000002</v>
      </c>
      <c r="E12" s="23">
        <f>E8*E10</f>
        <v>26.744779454744371</v>
      </c>
      <c r="F12" s="23">
        <f>F8*F10</f>
        <v>3562.1762480191887</v>
      </c>
      <c r="G12" s="23"/>
      <c r="H12" s="23"/>
      <c r="I12" s="23"/>
      <c r="J12" s="23">
        <f>J8*J10</f>
        <v>368.17965038537523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0.56118989293246935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910.71356104268091</v>
      </c>
      <c r="C26" s="245">
        <f>B26*'GWP N2O_CH4'!B5</f>
        <v>19124.984781896299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341.94288176953387</v>
      </c>
      <c r="C27" s="245">
        <f>B27*'GWP N2O_CH4'!B5</f>
        <v>7180.8005171602108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12.567538856220075</v>
      </c>
      <c r="C28" s="245">
        <f>B28*'GWP N2O_CH4'!B4</f>
        <v>3895.9370454282234</v>
      </c>
      <c r="D28" s="50"/>
    </row>
    <row r="29" spans="1:4">
      <c r="A29" s="41" t="s">
        <v>271</v>
      </c>
      <c r="B29" s="245">
        <f>B34*'ha_N2O bodem landbouw'!B4</f>
        <v>35.378321332324653</v>
      </c>
      <c r="C29" s="245">
        <f>B29*'GWP N2O_CH4'!B4</f>
        <v>10967.279613020643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7.7578288958254143E-3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4.588420258292908E-4</v>
      </c>
      <c r="C5" s="433" t="s">
        <v>210</v>
      </c>
      <c r="D5" s="418">
        <f>SUM(D6:D11)</f>
        <v>8.5384922699040006E-4</v>
      </c>
      <c r="E5" s="418">
        <f>SUM(E6:E11)</f>
        <v>7.3417872409039598E-4</v>
      </c>
      <c r="F5" s="431" t="s">
        <v>210</v>
      </c>
      <c r="G5" s="418">
        <f>SUM(G6:G11)</f>
        <v>0.29672888847134365</v>
      </c>
      <c r="H5" s="418">
        <f>SUM(H6:H11)</f>
        <v>7.5672496122781638E-2</v>
      </c>
      <c r="I5" s="433" t="s">
        <v>210</v>
      </c>
      <c r="J5" s="433" t="s">
        <v>210</v>
      </c>
      <c r="K5" s="433" t="s">
        <v>210</v>
      </c>
      <c r="L5" s="433" t="s">
        <v>210</v>
      </c>
      <c r="M5" s="418">
        <f>SUM(M6:M11)</f>
        <v>2.2114294589652965E-2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2.8039791469204362E-4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4.7333894464726071E-4</v>
      </c>
      <c r="E6" s="884">
        <f>vkm_GW_PW*SUMIFS(TableVerdeelsleutelVkm[LPG],TableVerdeelsleutelVkm[Voertuigtype],"Lichte voertuigen")*SUMIFS(TableECFTransport[EnergieConsumptieFactor (PJ per km)],TableECFTransport[Index],CONCATENATE($A6,"_LPG_LPG"))</f>
        <v>4.1477386742581575E-4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0.12956730056374777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4.2221914064434374E-2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1.0264035117752998E-2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1.7336016246700323E-6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6.6166726113863233E-2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9.1973870427407123E-7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3.8140075640403473E-3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1.7653094324335554E-4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3.8051028234313935E-4</v>
      </c>
      <c r="E8" s="421">
        <f>vkm_NGW_PW*SUMIFS(TableVerdeelsleutelVkm[LPG],TableVerdeelsleutelVkm[Voertuigtype],"Lichte voertuigen")*SUMIFS(TableECFTransport[EnergieConsumptieFactor (PJ per km)],TableECFTransport[Index],CONCATENATE($A8,"_LPG_LPG"))</f>
        <v>3.1940485666458022E-4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9.2184103337864254E-2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3.3449547330625488E-2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7.5283793171389904E-3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1.7956626922163218E-7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8.8107584558683952E-3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1.1498901750377015E-7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5.0787259072063162E-4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127.45611828591412</v>
      </c>
      <c r="C14" s="21"/>
      <c r="D14" s="21">
        <f t="shared" ref="D14:M14" si="0">((D5)*10^9/3600)+D12</f>
        <v>237.18034083066669</v>
      </c>
      <c r="E14" s="21">
        <f t="shared" si="0"/>
        <v>203.93853446955444</v>
      </c>
      <c r="F14" s="21"/>
      <c r="G14" s="21">
        <f t="shared" si="0"/>
        <v>82424.691242039902</v>
      </c>
      <c r="H14" s="21">
        <f t="shared" si="0"/>
        <v>21020.137811883786</v>
      </c>
      <c r="I14" s="21"/>
      <c r="J14" s="21"/>
      <c r="K14" s="21"/>
      <c r="L14" s="21"/>
      <c r="M14" s="21">
        <f t="shared" si="0"/>
        <v>6142.8596082369349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0.1649562195069296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21.024679425472431</v>
      </c>
      <c r="C18" s="23"/>
      <c r="D18" s="23">
        <f t="shared" ref="D18:M18" si="1">D14*D16</f>
        <v>47.910428847794677</v>
      </c>
      <c r="E18" s="23">
        <f t="shared" si="1"/>
        <v>46.29404732458886</v>
      </c>
      <c r="F18" s="23"/>
      <c r="G18" s="23">
        <f t="shared" si="1"/>
        <v>22007.392561624656</v>
      </c>
      <c r="H18" s="23">
        <f t="shared" si="1"/>
        <v>5234.0143151590628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1.1852618512046737E-4</v>
      </c>
      <c r="C50" s="315">
        <f t="shared" ref="C50:P50" si="2">SUM(C51:C52)</f>
        <v>0</v>
      </c>
      <c r="D50" s="315">
        <f t="shared" si="2"/>
        <v>0</v>
      </c>
      <c r="E50" s="315">
        <f t="shared" si="2"/>
        <v>0</v>
      </c>
      <c r="F50" s="315">
        <f t="shared" si="2"/>
        <v>0</v>
      </c>
      <c r="G50" s="315">
        <f t="shared" si="2"/>
        <v>8.5874006274969383E-3</v>
      </c>
      <c r="H50" s="315">
        <f t="shared" si="2"/>
        <v>0</v>
      </c>
      <c r="I50" s="315">
        <f t="shared" si="2"/>
        <v>0</v>
      </c>
      <c r="J50" s="315">
        <f t="shared" si="2"/>
        <v>0</v>
      </c>
      <c r="K50" s="315">
        <f t="shared" si="2"/>
        <v>0</v>
      </c>
      <c r="L50" s="315">
        <f t="shared" si="2"/>
        <v>0</v>
      </c>
      <c r="M50" s="315">
        <f t="shared" si="2"/>
        <v>4.85728952779289E-4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1.1852618512046737E-4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8.5874006274969383E-3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4.85728952779289E-4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32.923940311240933</v>
      </c>
      <c r="C54" s="21">
        <f t="shared" ref="C54:P54" si="3">(C50)*10^9/3600</f>
        <v>0</v>
      </c>
      <c r="D54" s="21">
        <f t="shared" si="3"/>
        <v>0</v>
      </c>
      <c r="E54" s="21">
        <f t="shared" si="3"/>
        <v>0</v>
      </c>
      <c r="F54" s="21">
        <f t="shared" si="3"/>
        <v>0</v>
      </c>
      <c r="G54" s="21">
        <f t="shared" si="3"/>
        <v>2385.3890631935942</v>
      </c>
      <c r="H54" s="21">
        <f t="shared" si="3"/>
        <v>0</v>
      </c>
      <c r="I54" s="21">
        <f t="shared" si="3"/>
        <v>0</v>
      </c>
      <c r="J54" s="21">
        <f t="shared" si="3"/>
        <v>0</v>
      </c>
      <c r="K54" s="21">
        <f t="shared" si="3"/>
        <v>0</v>
      </c>
      <c r="L54" s="21">
        <f t="shared" si="3"/>
        <v>0</v>
      </c>
      <c r="M54" s="21">
        <f t="shared" si="3"/>
        <v>134.92470910535806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0.1649562195069296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5.4310087250141077</v>
      </c>
      <c r="C58" s="23">
        <f t="shared" ref="C58:P58" ca="1" si="4">C54*C56</f>
        <v>0</v>
      </c>
      <c r="D58" s="23">
        <f t="shared" si="4"/>
        <v>0</v>
      </c>
      <c r="E58" s="23">
        <f t="shared" si="4"/>
        <v>0</v>
      </c>
      <c r="F58" s="23">
        <f t="shared" si="4"/>
        <v>0</v>
      </c>
      <c r="G58" s="23">
        <f t="shared" si="4"/>
        <v>636.89887987268969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11014.38904115144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N31</f>
        <v>10788.3</v>
      </c>
      <c r="C8" s="543">
        <f>B50</f>
        <v>0</v>
      </c>
      <c r="D8" s="544"/>
      <c r="E8" s="544">
        <f>E50</f>
        <v>0</v>
      </c>
      <c r="F8" s="545"/>
      <c r="G8" s="546"/>
      <c r="H8" s="544">
        <f>I50</f>
        <v>0</v>
      </c>
      <c r="I8" s="544">
        <f>G50+F50</f>
        <v>0</v>
      </c>
      <c r="J8" s="544">
        <f>H50+D50+C50</f>
        <v>12692.117647058827</v>
      </c>
      <c r="K8" s="544"/>
      <c r="L8" s="544"/>
      <c r="M8" s="544"/>
      <c r="N8" s="547"/>
      <c r="O8" s="548">
        <f>C8*$C$12+D8*$D$12+E8*$E$12+F8*$F$12+G8*$G$12+H8*$H$12+I8*$I$12+J8*$J$12</f>
        <v>0</v>
      </c>
      <c r="P8" s="1244"/>
      <c r="Q8" s="1245"/>
      <c r="S8" s="538"/>
      <c r="T8" s="1232"/>
      <c r="U8" s="1232"/>
    </row>
    <row r="9" spans="1:21" s="529" customFormat="1" ht="17.45" customHeight="1" thickBot="1">
      <c r="A9" s="549" t="s">
        <v>242</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21802.68904115144</v>
      </c>
      <c r="C10" s="558">
        <f t="shared" ref="C10:L10" si="0">SUM(C8:C9)</f>
        <v>0</v>
      </c>
      <c r="D10" s="558">
        <f t="shared" si="0"/>
        <v>0</v>
      </c>
      <c r="E10" s="558">
        <f t="shared" si="0"/>
        <v>0</v>
      </c>
      <c r="F10" s="558">
        <f t="shared" si="0"/>
        <v>0</v>
      </c>
      <c r="G10" s="558">
        <f t="shared" si="0"/>
        <v>0</v>
      </c>
      <c r="H10" s="558">
        <f t="shared" si="0"/>
        <v>0</v>
      </c>
      <c r="I10" s="558">
        <f t="shared" si="0"/>
        <v>0</v>
      </c>
      <c r="J10" s="558">
        <f t="shared" si="0"/>
        <v>12692.117647058827</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O31</f>
        <v>15411.857142857143</v>
      </c>
      <c r="C17" s="574">
        <f>B51</f>
        <v>0</v>
      </c>
      <c r="D17" s="575"/>
      <c r="E17" s="575">
        <f>E51</f>
        <v>0</v>
      </c>
      <c r="F17" s="576"/>
      <c r="G17" s="577"/>
      <c r="H17" s="574">
        <f>I51</f>
        <v>0</v>
      </c>
      <c r="I17" s="575">
        <f>G51+F51</f>
        <v>0</v>
      </c>
      <c r="J17" s="575">
        <f>H51+D51+C51</f>
        <v>18131.596638655465</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15411.857142857143</v>
      </c>
      <c r="C20" s="557">
        <f>SUM(C17:C19)</f>
        <v>0</v>
      </c>
      <c r="D20" s="557">
        <f t="shared" ref="D20:L20" si="1">SUM(D17:D19)</f>
        <v>0</v>
      </c>
      <c r="E20" s="557">
        <f t="shared" si="1"/>
        <v>0</v>
      </c>
      <c r="F20" s="557">
        <f t="shared" si="1"/>
        <v>0</v>
      </c>
      <c r="G20" s="557">
        <f t="shared" si="1"/>
        <v>0</v>
      </c>
      <c r="H20" s="557">
        <f t="shared" si="1"/>
        <v>0</v>
      </c>
      <c r="I20" s="557">
        <f t="shared" si="1"/>
        <v>0</v>
      </c>
      <c r="J20" s="557">
        <f t="shared" si="1"/>
        <v>18131.596638655465</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72030</v>
      </c>
      <c r="C28" s="785">
        <v>3990</v>
      </c>
      <c r="D28" s="635" t="s">
        <v>906</v>
      </c>
      <c r="E28" s="634" t="s">
        <v>907</v>
      </c>
      <c r="F28" s="634" t="s">
        <v>908</v>
      </c>
      <c r="G28" s="634" t="s">
        <v>909</v>
      </c>
      <c r="H28" s="634" t="s">
        <v>910</v>
      </c>
      <c r="I28" s="634" t="s">
        <v>907</v>
      </c>
      <c r="J28" s="784">
        <v>41236</v>
      </c>
      <c r="K28" s="784">
        <v>41275</v>
      </c>
      <c r="L28" s="634" t="s">
        <v>911</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88" customFormat="1" ht="38.25">
      <c r="A29" s="587"/>
      <c r="B29" s="785">
        <v>72030</v>
      </c>
      <c r="C29" s="785">
        <v>3990</v>
      </c>
      <c r="D29" s="635" t="s">
        <v>912</v>
      </c>
      <c r="E29" s="634"/>
      <c r="F29" s="634" t="s">
        <v>913</v>
      </c>
      <c r="G29" s="634" t="s">
        <v>914</v>
      </c>
      <c r="H29" s="634" t="s">
        <v>910</v>
      </c>
      <c r="I29" s="634" t="s">
        <v>915</v>
      </c>
      <c r="J29" s="784">
        <v>42395</v>
      </c>
      <c r="K29" s="784">
        <v>42395</v>
      </c>
      <c r="L29" s="634" t="s">
        <v>916</v>
      </c>
      <c r="M29" s="634">
        <v>2378</v>
      </c>
      <c r="N29" s="634">
        <v>10701</v>
      </c>
      <c r="O29" s="634">
        <v>15287.142857142857</v>
      </c>
      <c r="P29" s="634">
        <v>0</v>
      </c>
      <c r="Q29" s="634">
        <v>30574.285714285717</v>
      </c>
      <c r="R29" s="634">
        <v>0</v>
      </c>
      <c r="S29" s="634">
        <v>0</v>
      </c>
      <c r="T29" s="634">
        <v>0</v>
      </c>
      <c r="U29" s="634">
        <v>0</v>
      </c>
      <c r="V29" s="634">
        <v>0</v>
      </c>
      <c r="W29" s="634">
        <v>0</v>
      </c>
      <c r="X29" s="634">
        <v>600</v>
      </c>
      <c r="Y29" s="634" t="s">
        <v>39</v>
      </c>
      <c r="Z29" s="636" t="s">
        <v>377</v>
      </c>
    </row>
    <row r="30" spans="1:26" s="588" customFormat="1" ht="25.5">
      <c r="A30" s="587"/>
      <c r="B30" s="785">
        <v>72030</v>
      </c>
      <c r="C30" s="785">
        <v>3990</v>
      </c>
      <c r="D30" s="635" t="s">
        <v>917</v>
      </c>
      <c r="E30" s="634"/>
      <c r="F30" s="634" t="s">
        <v>918</v>
      </c>
      <c r="G30" s="634" t="s">
        <v>919</v>
      </c>
      <c r="H30" s="634" t="s">
        <v>910</v>
      </c>
      <c r="I30" s="634" t="s">
        <v>920</v>
      </c>
      <c r="J30" s="784">
        <v>41974</v>
      </c>
      <c r="K30" s="784">
        <v>42398</v>
      </c>
      <c r="L30" s="634" t="s">
        <v>916</v>
      </c>
      <c r="M30" s="634">
        <v>9.6999999999999993</v>
      </c>
      <c r="N30" s="634">
        <v>43.649999999999991</v>
      </c>
      <c r="O30" s="634">
        <v>62.357142857142847</v>
      </c>
      <c r="P30" s="634">
        <v>0</v>
      </c>
      <c r="Q30" s="634">
        <v>124.71428571428569</v>
      </c>
      <c r="R30" s="634">
        <v>0</v>
      </c>
      <c r="S30" s="634">
        <v>0</v>
      </c>
      <c r="T30" s="634">
        <v>0</v>
      </c>
      <c r="U30" s="634">
        <v>0</v>
      </c>
      <c r="V30" s="634">
        <v>0</v>
      </c>
      <c r="W30" s="634">
        <v>0</v>
      </c>
      <c r="X30" s="634">
        <v>10</v>
      </c>
      <c r="Y30" s="634" t="s">
        <v>111</v>
      </c>
      <c r="Z30" s="636" t="s">
        <v>111</v>
      </c>
    </row>
    <row r="31" spans="1:26" s="568" customFormat="1">
      <c r="A31" s="590" t="s">
        <v>274</v>
      </c>
      <c r="B31" s="591"/>
      <c r="C31" s="591"/>
      <c r="D31" s="591"/>
      <c r="E31" s="591"/>
      <c r="F31" s="591"/>
      <c r="G31" s="591"/>
      <c r="H31" s="591"/>
      <c r="I31" s="591"/>
      <c r="J31" s="591"/>
      <c r="K31" s="591"/>
      <c r="L31" s="592"/>
      <c r="M31" s="592">
        <f>SUM(M28:M30)</f>
        <v>2397.3999999999996</v>
      </c>
      <c r="N31" s="592">
        <f>SUM(N28:N30)</f>
        <v>10788.3</v>
      </c>
      <c r="O31" s="592">
        <f>SUM(O28:O30)</f>
        <v>15411.857142857143</v>
      </c>
      <c r="P31" s="592">
        <f>SUM(P28:P30)</f>
        <v>0</v>
      </c>
      <c r="Q31" s="592">
        <f>SUM(Q28:Q30)</f>
        <v>30823.71428571429</v>
      </c>
      <c r="R31" s="592">
        <f>SUM(R28:R30)</f>
        <v>0</v>
      </c>
      <c r="S31" s="592">
        <f>SUM(S28:S30)</f>
        <v>0</v>
      </c>
      <c r="T31" s="592">
        <f>SUM(T28:T30)</f>
        <v>0</v>
      </c>
      <c r="U31" s="592">
        <f>SUM(U28:U30)</f>
        <v>0</v>
      </c>
      <c r="V31" s="592">
        <f>SUM(V28:V30)</f>
        <v>0</v>
      </c>
      <c r="W31" s="592">
        <f>SUM(W28:W30)</f>
        <v>0</v>
      </c>
      <c r="X31" s="593"/>
      <c r="Y31" s="593"/>
      <c r="Z31" s="594"/>
    </row>
    <row r="32" spans="1:26" s="568" customFormat="1">
      <c r="A32" s="590" t="s">
        <v>281</v>
      </c>
      <c r="B32" s="591"/>
      <c r="C32" s="591"/>
      <c r="D32" s="591"/>
      <c r="E32" s="591"/>
      <c r="F32" s="591"/>
      <c r="G32" s="591"/>
      <c r="H32" s="591"/>
      <c r="I32" s="591"/>
      <c r="J32" s="591"/>
      <c r="K32" s="591"/>
      <c r="L32" s="592"/>
      <c r="M32" s="592">
        <f>SUMIF($Z$28:$Z$30,"industrie",M28:M30)</f>
        <v>2378</v>
      </c>
      <c r="N32" s="592">
        <f>SUMIF($Z$28:$Z$30,"industrie",N28:N30)</f>
        <v>10701</v>
      </c>
      <c r="O32" s="592">
        <f>SUMIF($Z$28:$Z$30,"industrie",O28:O30)</f>
        <v>15287.142857142857</v>
      </c>
      <c r="P32" s="592">
        <f>SUMIF($Z$28:$Z$30,"industrie",P28:P30)</f>
        <v>0</v>
      </c>
      <c r="Q32" s="592">
        <f>SUMIF($Z$28:$Z$30,"industrie",Q28:Q30)</f>
        <v>30574.285714285717</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282</v>
      </c>
      <c r="B33" s="591"/>
      <c r="C33" s="591"/>
      <c r="D33" s="591"/>
      <c r="E33" s="591"/>
      <c r="F33" s="591"/>
      <c r="G33" s="591"/>
      <c r="H33" s="591"/>
      <c r="I33" s="591"/>
      <c r="J33" s="591"/>
      <c r="K33" s="591"/>
      <c r="L33" s="592"/>
      <c r="M33" s="592">
        <f ca="1">SUMIF($Z$28:AC30,"tertiair",M28:M30)</f>
        <v>0</v>
      </c>
      <c r="N33" s="592">
        <f ca="1">SUMIF($Z$28:AD30,"tertiair",N28:N30)</f>
        <v>0</v>
      </c>
      <c r="O33" s="592">
        <f ca="1">SUMIF($Z$28:AE30,"tertiair",O28:O30)</f>
        <v>0</v>
      </c>
      <c r="P33" s="592">
        <f ca="1">SUMIF($Z$28:AF30,"tertiair",P28:P30)</f>
        <v>0</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283</v>
      </c>
      <c r="B34" s="596"/>
      <c r="C34" s="596"/>
      <c r="D34" s="596"/>
      <c r="E34" s="596"/>
      <c r="F34" s="596"/>
      <c r="G34" s="596"/>
      <c r="H34" s="596"/>
      <c r="I34" s="596"/>
      <c r="J34" s="596"/>
      <c r="K34" s="596"/>
      <c r="L34" s="597"/>
      <c r="M34" s="597">
        <f>SUMIF($Z$28:$Z$30,"landbouw",M28:M30)</f>
        <v>19.399999999999999</v>
      </c>
      <c r="N34" s="597">
        <f>SUMIF($Z$28:$Z$30,"landbouw",N28:N30)</f>
        <v>87.299999999999983</v>
      </c>
      <c r="O34" s="597">
        <f>SUMIF($Z$28:$Z$30,"landbouw",O28:O30)</f>
        <v>124.71428571428569</v>
      </c>
      <c r="P34" s="597">
        <f>SUMIF($Z$28:$Z$30,"landbouw",P28:P30)</f>
        <v>0</v>
      </c>
      <c r="Q34" s="597">
        <f>SUMIF($Z$28:$Z$30,"landbouw",Q28:Q30)</f>
        <v>249.42857142857139</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275</v>
      </c>
      <c r="B36" s="631" t="s">
        <v>89</v>
      </c>
      <c r="C36" s="631" t="s">
        <v>90</v>
      </c>
      <c r="D36" s="631" t="s">
        <v>91</v>
      </c>
      <c r="E36" s="631" t="s">
        <v>92</v>
      </c>
      <c r="F36" s="631" t="s">
        <v>93</v>
      </c>
      <c r="G36" s="631" t="s">
        <v>94</v>
      </c>
      <c r="H36" s="631" t="s">
        <v>95</v>
      </c>
      <c r="I36" s="631" t="s">
        <v>96</v>
      </c>
      <c r="J36" s="631" t="s">
        <v>97</v>
      </c>
      <c r="K36" s="631" t="s">
        <v>98</v>
      </c>
      <c r="L36" s="631" t="s">
        <v>99</v>
      </c>
      <c r="M36" s="632" t="s">
        <v>292</v>
      </c>
      <c r="N36" s="632" t="s">
        <v>100</v>
      </c>
      <c r="O36" s="632" t="s">
        <v>101</v>
      </c>
      <c r="P36" s="632" t="s">
        <v>517</v>
      </c>
      <c r="Q36" s="632" t="s">
        <v>102</v>
      </c>
      <c r="R36" s="632" t="s">
        <v>103</v>
      </c>
      <c r="S36" s="632" t="s">
        <v>104</v>
      </c>
      <c r="T36" s="632" t="s">
        <v>105</v>
      </c>
      <c r="U36" s="632" t="s">
        <v>106</v>
      </c>
      <c r="V36" s="632" t="s">
        <v>107</v>
      </c>
      <c r="W36" s="631" t="s">
        <v>108</v>
      </c>
      <c r="X36" s="631" t="s">
        <v>293</v>
      </c>
      <c r="Y36" s="631" t="s">
        <v>109</v>
      </c>
      <c r="Z36" s="633" t="s">
        <v>294</v>
      </c>
    </row>
    <row r="37" spans="1:27" s="603" customFormat="1" ht="12.75">
      <c r="A37" s="589"/>
      <c r="B37" s="785"/>
      <c r="C37" s="785"/>
      <c r="D37" s="637"/>
      <c r="E37" s="637"/>
      <c r="F37" s="637"/>
      <c r="G37" s="637"/>
      <c r="H37" s="637"/>
      <c r="I37" s="637"/>
      <c r="J37" s="784"/>
      <c r="K37" s="784"/>
      <c r="L37" s="637"/>
      <c r="M37" s="637"/>
      <c r="N37" s="637"/>
      <c r="O37" s="637"/>
      <c r="P37" s="637"/>
      <c r="Q37" s="637"/>
      <c r="R37" s="637"/>
      <c r="S37" s="637"/>
      <c r="T37" s="637"/>
      <c r="U37" s="637"/>
      <c r="V37" s="637"/>
      <c r="W37" s="637"/>
      <c r="X37" s="637"/>
      <c r="Y37" s="637"/>
      <c r="Z37" s="638"/>
    </row>
    <row r="38" spans="1:27" s="568" customFormat="1">
      <c r="A38" s="590" t="s">
        <v>274</v>
      </c>
      <c r="B38" s="591"/>
      <c r="C38" s="591"/>
      <c r="D38" s="591"/>
      <c r="E38" s="591"/>
      <c r="F38" s="591"/>
      <c r="G38" s="591"/>
      <c r="H38" s="591"/>
      <c r="I38" s="591"/>
      <c r="J38" s="591"/>
      <c r="K38" s="591"/>
      <c r="L38" s="592"/>
      <c r="M38" s="592">
        <f>SUM(M37:M37)</f>
        <v>0</v>
      </c>
      <c r="N38" s="592">
        <f>SUM(N37:N37)</f>
        <v>0</v>
      </c>
      <c r="O38" s="592">
        <f>SUM(O37:O37)</f>
        <v>0</v>
      </c>
      <c r="P38" s="592">
        <f>SUM(P37:P37)</f>
        <v>0</v>
      </c>
      <c r="Q38" s="592">
        <f>SUM(Q37:Q37)</f>
        <v>0</v>
      </c>
      <c r="R38" s="592">
        <f>SUM(R37:R37)</f>
        <v>0</v>
      </c>
      <c r="S38" s="592">
        <f>SUM(S37:S37)</f>
        <v>0</v>
      </c>
      <c r="T38" s="592">
        <f>SUM(T37:T37)</f>
        <v>0</v>
      </c>
      <c r="U38" s="592">
        <f>SUM(U37:U37)</f>
        <v>0</v>
      </c>
      <c r="V38" s="592">
        <f>SUM(V37:V37)</f>
        <v>0</v>
      </c>
      <c r="W38" s="592">
        <f>SUM(W37:W37)</f>
        <v>0</v>
      </c>
      <c r="X38" s="593"/>
      <c r="Y38" s="593"/>
      <c r="Z38" s="594"/>
    </row>
    <row r="39" spans="1:27" s="568" customFormat="1">
      <c r="A39" s="590" t="s">
        <v>281</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282</v>
      </c>
      <c r="B40" s="591"/>
      <c r="C40" s="591"/>
      <c r="D40" s="591"/>
      <c r="E40" s="591"/>
      <c r="F40" s="591"/>
      <c r="G40" s="591"/>
      <c r="H40" s="591"/>
      <c r="I40" s="591"/>
      <c r="J40" s="591"/>
      <c r="K40" s="591"/>
      <c r="L40" s="592"/>
      <c r="M40" s="592">
        <f>SUMIF($Z$37:$Z$38,"tertiair",M37:M38)</f>
        <v>0</v>
      </c>
      <c r="N40" s="592">
        <f>SUMIF($Z$37:$Z$38,"tertiair",N37:N38)</f>
        <v>0</v>
      </c>
      <c r="O40" s="592">
        <f>SUMIF($Z$37:$Z$38,"tertiair",O37:O38)</f>
        <v>0</v>
      </c>
      <c r="P40" s="592">
        <f>SUMIF($Z$37:$Z$38,"tertiair",P37:P38)</f>
        <v>0</v>
      </c>
      <c r="Q40" s="592">
        <f>SUMIF($Z$37:$Z$38,"tertiair",Q37:Q38)</f>
        <v>0</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283</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276</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277</v>
      </c>
      <c r="C46" s="614" t="s">
        <v>278</v>
      </c>
      <c r="D46" s="614"/>
      <c r="E46" s="614"/>
      <c r="F46" s="614"/>
      <c r="G46" s="614"/>
      <c r="H46" s="614"/>
      <c r="I46" s="615"/>
      <c r="J46" s="614"/>
      <c r="K46" s="614"/>
      <c r="L46" s="614"/>
      <c r="M46" s="614"/>
      <c r="N46" s="614"/>
      <c r="O46" s="614"/>
      <c r="P46" s="609"/>
    </row>
    <row r="47" spans="1:27">
      <c r="A47" s="611" t="s">
        <v>274</v>
      </c>
      <c r="B47" s="616">
        <f>IF(ISERROR(O31/(O31+N31)),0,O31/(O31+N31))</f>
        <v>0.58823529411764708</v>
      </c>
      <c r="C47" s="617">
        <f>IF(ISERROR(N31/(O31+N31)),0,N31/(N31+O31))</f>
        <v>0.41176470588235298</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517</v>
      </c>
      <c r="C49" s="624" t="s">
        <v>102</v>
      </c>
      <c r="D49" s="624" t="s">
        <v>103</v>
      </c>
      <c r="E49" s="624" t="s">
        <v>104</v>
      </c>
      <c r="F49" s="624" t="s">
        <v>105</v>
      </c>
      <c r="G49" s="624" t="s">
        <v>106</v>
      </c>
      <c r="H49" s="624" t="s">
        <v>107</v>
      </c>
      <c r="I49" s="625" t="s">
        <v>108</v>
      </c>
      <c r="J49" s="614"/>
      <c r="K49" s="614"/>
      <c r="L49" s="622"/>
      <c r="M49" s="622"/>
      <c r="N49" s="622"/>
      <c r="O49" s="609"/>
      <c r="P49" s="609"/>
    </row>
    <row r="50" spans="1:16">
      <c r="A50" s="613" t="s">
        <v>279</v>
      </c>
      <c r="B50" s="626">
        <f t="shared" ref="B50:I50" si="2">$C$47*P31</f>
        <v>0</v>
      </c>
      <c r="C50" s="626">
        <f t="shared" si="2"/>
        <v>12692.117647058827</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280</v>
      </c>
      <c r="B51" s="629">
        <f t="shared" ref="B51:I51" si="3">$B$47*P31</f>
        <v>0</v>
      </c>
      <c r="C51" s="629">
        <f t="shared" si="3"/>
        <v>18131.596638655465</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2021-06-29T15:33:37Z</dcterms:modified>
</cp:coreProperties>
</file>