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<sst xmlns="http://schemas.openxmlformats.org/spreadsheetml/2006/main" count="2493" uniqueCount="913">
  <si>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</si>
  <si>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</si>
  <si>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</si>
  <si>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</si>
  <si>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</si>
  <si>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</si>
  <si>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</si>
  <si>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</si>
  <si>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</si>
  <si>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</si>
  <si>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</si>
  <si>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</si>
  <si>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</si>
  <si>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</si>
  <si>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</si>
  <si>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</si>
  <si>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</si>
  <si>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</si>
  <si>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</si>
  <si>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</si>
  <si>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</si>
  <si>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</si>
  <si>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</si>
  <si>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</si>
  <si>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</si>
  <si>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</si>
  <si>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</si>
  <si>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</si>
  <si>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</si>
  <si>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</si>
  <si>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</si>
  <si>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</si>
  <si>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</si>
  <si>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</si>
  <si>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</si>
  <si>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</si>
  <si>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</si>
  <si>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</si>
  <si>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</si>
  <si>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</si>
  <si>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</si>
  <si>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</si>
  <si>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</si>
  <si>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</si>
  <si>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</si>
  <si>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</si>
  <si>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</si>
  <si>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</si>
  <si>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</si>
  <si>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</si>
  <si>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</si>
  <si>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</si>
  <si>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</si>
  <si>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</si>
  <si>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</si>
  <si>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</si>
  <si>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</si>
  <si>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</si>
  <si>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</si>
  <si>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</si>
  <si>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</si>
  <si>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</si>
  <si>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</si>
  <si>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</si>
  <si>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</si>
  <si>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</si>
  <si>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</si>
  <si>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</si>
  <si>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</si>
  <si>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</si>
  <si>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</si>
  <si>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</si>
  <si>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</si>
  <si>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</si>
  <si>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</si>
  <si>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</si>
  <si>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</si>
  <si>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</si>
  <si>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</si>
  <si>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</si>
  <si>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</si>
  <si>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</si>
  <si>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</si>
  <si>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</si>
  <si>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</si>
  <si>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</si>
  <si>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</si>
  <si>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</si>
  <si>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</si>
  <si>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</si>
  <si>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</si>
  <si>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</si>
  <si>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</si>
  <si>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</si>
  <si>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</si>
  <si>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</si>
  <si>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</si>
  <si>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</si>
  <si>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</si>
  <si>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</si>
  <si>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</si>
  <si>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</si>
  <si>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</si>
  <si>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</si>
  <si>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</si>
  <si>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</si>
  <si>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</si>
  <si>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</si>
  <si>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</si>
  <si>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</si>
  <si>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</si>
  <si>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</si>
  <si>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</si>
  <si>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</si>
  <si>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</si>
  <si>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</si>
  <si>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</si>
  <si>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</si>
  <si>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</si>
  <si>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</si>
  <si>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</si>
  <si>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</si>
  <si>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</si>
  <si>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</si>
  <si>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</si>
  <si>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</si>
  <si>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</si>
  <si>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</si>
  <si>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</si>
  <si>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</si>
  <si>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</si>
  <si>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</si>
  <si>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</si>
  <si>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</si>
  <si>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</si>
  <si>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</si>
  <si>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</si>
  <si>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</si>
  <si>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</si>
  <si>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</si>
  <si>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</si>
  <si>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</si>
  <si>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</si>
  <si>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</si>
  <si>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</si>
  <si>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</si>
  <si>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</si>
  <si>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</si>
  <si>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</si>
  <si>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</si>
  <si>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</si>
  <si>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</si>
  <si>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</si>
  <si>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</si>
  <si>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</si>
  <si>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</si>
  <si>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</si>
  <si>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</si>
  <si>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</si>
  <si>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</si>
  <si>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</si>
  <si>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</si>
  <si>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</si>
  <si>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</si>
  <si>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</si>
  <si>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</si>
  <si>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</si>
  <si>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</si>
  <si>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</si>
  <si>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</si>
  <si>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</si>
  <si>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</si>
  <si>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</si>
  <si>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</si>
  <si>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</si>
  <si>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</si>
  <si>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</si>
  <si>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</si>
  <si>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</si>
  <si>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</si>
  <si>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</si>
  <si>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</si>
  <si>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</si>
  <si>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</si>
  <si>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</si>
  <si>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</si>
  <si>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</si>
  <si>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</si>
  <si>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</si>
  <si>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</si>
  <si>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</si>
  <si>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</si>
  <si>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</si>
  <si>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</si>
  <si>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</si>
  <si>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</si>
  <si>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</si>
  <si>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</si>
  <si>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</si>
  <si>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</si>
  <si>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</si>
  <si>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</si>
  <si>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</si>
  <si>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</si>
  <si>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</si>
  <si>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</si>
  <si>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</si>
  <si>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</si>
  <si>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</si>
  <si>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</si>
  <si>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</si>
  <si>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</si>
  <si>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</si>
  <si>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</si>
  <si>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</si>
  <si>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</si>
  <si>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</si>
  <si>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</si>
  <si>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</si>
  <si>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</si>
  <si>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</si>
  <si>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</si>
  <si>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</si>
  <si>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</si>
  <si>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</si>
  <si>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</si>
  <si>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</si>
  <si>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</si>
  <si>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</si>
  <si>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</si>
  <si>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</si>
  <si>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</si>
  <si>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</si>
  <si>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</si>
  <si>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</si>
  <si>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</si>
  <si>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</si>
  <si>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</si>
  <si>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</si>
  <si>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</si>
  <si>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</si>
  <si>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</si>
  <si>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</si>
  <si>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</si>
  <si>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</si>
  <si>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</si>
  <si>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</si>
  <si>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</si>
  <si>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</si>
  <si>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</si>
  <si>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</si>
  <si>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</si>
  <si>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</si>
  <si>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</si>
  <si>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</si>
  <si>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</si>
  <si>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</si>
  <si>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</si>
  <si>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</si>
  <si>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</si>
  <si>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</si>
  <si>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</si>
  <si>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</si>
  <si>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</si>
  <si>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</si>
  <si>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</si>
  <si>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</si>
  <si>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</si>
  <si>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</si>
  <si>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</si>
  <si>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</si>
  <si>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</si>
  <si>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</si>
  <si>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</si>
  <si>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</si>
  <si>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</si>
  <si>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</si>
  <si>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</si>
  <si>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</si>
  <si>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</si>
  <si>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</si>
  <si>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</si>
  <si>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</si>
  <si>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</si>
  <si>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</si>
  <si>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</si>
  <si>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</si>
  <si>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</si>
  <si>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</si>
  <si>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</si>
  <si>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</si>
  <si>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</si>
  <si>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</si>
  <si>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</si>
  <si>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</si>
  <si>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</si>
  <si>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</si>
  <si>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</si>
  <si>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</si>
  <si>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</si>
  <si>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</si>
  <si>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</si>
  <si>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</si>
  <si>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</si>
  <si>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</si>
  <si>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</si>
  <si>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</si>
  <si>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</si>
  <si>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</si>
  <si>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</si>
  <si>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</si>
  <si>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</si>
  <si>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</si>
  <si>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</si>
  <si>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</si>
  <si>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</si>
  <si>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</si>
  <si>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</si>
  <si>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</si>
  <si>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</si>
  <si>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</si>
  <si>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</si>
  <si>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</si>
  <si>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</si>
  <si>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</si>
  <si>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</si>
  <si>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</si>
  <si>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</si>
  <si>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</si>
  <si>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</si>
  <si>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</si>
  <si>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</si>
  <si>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</si>
  <si>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</si>
  <si>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</si>
  <si>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</si>
  <si>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</si>
  <si>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</si>
  <si>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</si>
  <si>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</si>
  <si>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</si>
  <si>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</si>
  <si>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</si>
  <si>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</si>
  <si>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</si>
  <si>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</si>
  <si>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</si>
  <si>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</si>
  <si>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</si>
  <si>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</si>
  <si>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</si>
  <si>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</si>
  <si>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</si>
  <si>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</si>
  <si>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</si>
  <si>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</si>
  <si>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</si>
  <si>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</si>
  <si>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</si>
  <si>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</si>
  <si>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</si>
  <si>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</si>
  <si>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</si>
  <si>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</si>
  <si>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</si>
  <si>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</si>
  <si>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</si>
  <si>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</si>
  <si>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</si>
  <si>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</si>
  <si>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</si>
  <si>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</si>
  <si>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</si>
  <si>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</si>
  <si>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</si>
  <si>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</si>
  <si>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</si>
  <si>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</si>
  <si>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</si>
  <si>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</si>
  <si>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</si>
  <si>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</si>
  <si>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</si>
  <si>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</si>
  <si>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</si>
  <si>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</si>
  <si>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</si>
  <si>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</si>
  <si>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</si>
  <si>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</si>
  <si>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</si>
  <si>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</si>
  <si>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</si>
  <si>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</si>
  <si>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</si>
  <si>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</si>
  <si>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</si>
  <si>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</si>
  <si>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</si>
  <si>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</si>
  <si>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</si>
  <si>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</si>
  <si>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</si>
  <si>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</si>
  <si>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</si>
  <si>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</si>
  <si>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</si>
  <si>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</si>
  <si>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</si>
  <si>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</si>
  <si>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</si>
  <si>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</si>
  <si>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</si>
  <si>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</si>
  <si>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</si>
  <si>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</si>
  <si>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</si>
  <si>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</si>
  <si>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</si>
  <si>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</si>
  <si>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</si>
  <si>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</si>
  <si>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</si>
  <si>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</si>
  <si>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</si>
  <si>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</si>
  <si>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</si>
  <si>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</si>
  <si>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</si>
  <si>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</si>
  <si>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</si>
  <si>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</si>
  <si>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</si>
  <si>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</si>
  <si>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</si>
  <si>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</si>
  <si>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</si>
  <si>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</si>
  <si>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</si>
  <si>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</si>
  <si>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</si>
  <si>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</si>
  <si>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</si>
  <si>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</si>
  <si>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</si>
  <si>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</si>
  <si>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</si>
  <si>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</si>
  <si>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</si>
  <si>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</si>
  <si>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</si>
  <si>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</si>
  <si>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</si>
  <si>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</si>
  <si>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</si>
  <si>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</si>
  <si>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</si>
  <si>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</si>
  <si>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</si>
  <si>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</si>
  <si>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</si>
  <si>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</si>
  <si>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</si>
  <si>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</si>
  <si>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</si>
  <si>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</si>
  <si>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</si>
  <si>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</si>
  <si>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</si>
  <si>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</si>
  <si>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</si>
  <si>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</si>
  <si>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</si>
  <si>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</si>
  <si>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</si>
  <si>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</si>
  <si>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</si>
  <si>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</si>
  <si>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</si>
  <si>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</si>
  <si>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</si>
  <si>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</si>
  <si>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</si>
  <si>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</si>
  <si>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</si>
  <si>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</si>
  <si>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</si>
  <si>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</si>
  <si>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</si>
  <si>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</si>
  <si>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</si>
  <si>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</si>
  <si>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</si>
  <si>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</si>
  <si>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</si>
  <si>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</si>
  <si>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</si>
  <si>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</si>
  <si>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</si>
  <si>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</si>
  <si>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</si>
  <si>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</si>
  <si>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</si>
  <si>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</si>
  <si>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</si>
  <si>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</si>
  <si>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</si>
  <si>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</si>
  <si>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</si>
  <si>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</si>
  <si>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</si>
  <si>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</si>
  <si>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</si>
  <si>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</si>
  <si>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</si>
  <si>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</si>
  <si>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</si>
  <si>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</si>
  <si>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</si>
  <si>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</si>
  <si>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</si>
  <si>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</si>
  <si>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</si>
  <si>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</si>
  <si>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</si>
  <si>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</si>
  <si>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</si>
  <si>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</si>
  <si>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</si>
  <si>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</si>
  <si>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</si>
  <si>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</si>
  <si>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</si>
  <si>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</si>
  <si>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</si>
  <si>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</si>
  <si>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</si>
  <si>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</si>
  <si>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</si>
  <si>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</si>
  <si>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</si>
  <si>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</si>
  <si>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</si>
  <si>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</si>
  <si>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</si>
  <si>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</si>
  <si>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</si>
  <si>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</si>
  <si>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</si>
  <si>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</si>
  <si>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</si>
  <si>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</si>
  <si>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</si>
  <si>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</si>
  <si>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</si>
  <si>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</si>
  <si>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</si>
  <si>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</si>
  <si>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</si>
  <si>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</si>
  <si>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</si>
  <si>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</si>
  <si>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</si>
  <si>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</si>
  <si>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</si>
  <si>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</si>
  <si>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</si>
  <si>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</si>
  <si>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</si>
  <si>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</si>
  <si>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</si>
  <si>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</si>
  <si>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</si>
  <si>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</si>
  <si>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</si>
  <si>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</si>
  <si>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</si>
  <si>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</si>
  <si>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</si>
  <si>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</si>
  <si>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</si>
  <si>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</si>
  <si>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</si>
  <si>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</si>
  <si>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</si>
  <si>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</si>
  <si>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</si>
  <si>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</si>
  <si>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</si>
  <si>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</si>
  <si>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</si>
  <si>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</si>
  <si>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</si>
  <si>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</si>
  <si>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</si>
  <si>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</si>
  <si>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</si>
  <si>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</si>
  <si>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</si>
  <si>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</si>
  <si>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</si>
  <si>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</si>
  <si>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</si>
  <si>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</si>
  <si>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</si>
  <si>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</si>
  <si>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</si>
  <si>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</si>
  <si>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</si>
  <si>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</si>
  <si>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</si>
  <si>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</si>
  <si>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</si>
  <si>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</si>
  <si>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</si>
  <si>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</si>
  <si>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</si>
  <si>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</si>
  <si>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</si>
  <si>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</si>
  <si>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</si>
  <si>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</si>
  <si>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</si>
  <si>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</si>
  <si>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</si>
  <si>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</si>
  <si>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</si>
  <si>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</si>
  <si>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</si>
  <si>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</si>
  <si>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</si>
  <si>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</si>
  <si>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</si>
  <si>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</si>
  <si>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</si>
  <si>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</si>
  <si>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</si>
  <si>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</si>
  <si>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</si>
  <si>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</si>
  <si>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</si>
  <si>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</si>
  <si>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</si>
  <si>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</si>
  <si>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</si>
  <si>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</si>
  <si>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</si>
  <si>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</si>
  <si>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</si>
  <si>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</si>
  <si>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</si>
  <si>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</si>
  <si>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</si>
  <si>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</si>
  <si>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</si>
  <si>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</si>
  <si>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</si>
  <si>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</si>
  <si>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</si>
  <si>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</si>
  <si>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</si>
  <si>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</si>
  <si>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</si>
  <si>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</si>
  <si>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</si>
  <si>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</si>
  <si>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</si>
  <si>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</si>
  <si>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</si>
  <si>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</si>
  <si>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</si>
  <si>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</si>
  <si>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</si>
  <si>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</si>
  <si>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</si>
  <si>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</si>
  <si>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</si>
  <si>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</si>
  <si>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</si>
  <si>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</si>
  <si>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</si>
  <si>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</si>
  <si>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</si>
  <si>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</si>
  <si>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</si>
  <si>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</si>
  <si>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</si>
  <si>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</si>
  <si>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</si>
  <si>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</si>
  <si>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</si>
  <si>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</si>
  <si>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</si>
  <si>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</si>
  <si>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</si>
  <si>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</si>
  <si>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</si>
  <si>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</si>
  <si>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</si>
  <si>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</si>
  <si>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</si>
  <si>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</si>
  <si>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</si>
  <si>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</si>
  <si>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</si>
  <si>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</si>
  <si>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</si>
  <si>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</si>
  <si>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</si>
  <si>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</si>
  <si>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</si>
  <si>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</si>
  <si>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</si>
  <si>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</si>
  <si>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</si>
  <si>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</si>
  <si>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</si>
  <si>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</si>
  <si>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</si>
  <si>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</si>
  <si>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</si>
  <si>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</si>
  <si>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</si>
  <si>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</si>
  <si>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</si>
  <si>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</si>
  <si>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</si>
  <si>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</si>
  <si>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</si>
  <si>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</si>
  <si>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</si>
  <si>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</si>
  <si>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</si>
  <si>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</si>
  <si>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</si>
  <si>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</si>
  <si>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</si>
  <si>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</si>
  <si>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</si>
  <si>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</si>
  <si>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</si>
  <si>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</si>
  <si>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</si>
  <si>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</si>
  <si>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</si>
  <si>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</si>
  <si>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</si>
  <si>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</si>
  <si>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</si>
  <si>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</si>
  <si>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</si>
  <si>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</si>
  <si>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</si>
  <si>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</si>
  <si>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</si>
  <si>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</si>
  <si>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</si>
  <si>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</si>
  <si>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</si>
  <si>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</si>
  <si>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</si>
  <si>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</si>
  <si>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</si>
  <si>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</si>
  <si>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</si>
  <si>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</si>
  <si>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</si>
  <si>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</si>
  <si>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</si>
  <si>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</si>
  <si>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</si>
  <si>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</si>
  <si>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</si>
  <si>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</si>
  <si>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</si>
  <si>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</si>
  <si>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</si>
  <si>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</si>
  <si>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</si>
  <si>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</si>
  <si>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</si>
  <si>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</si>
  <si>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</si>
  <si>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</si>
  <si>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</si>
  <si>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</si>
  <si>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</si>
  <si>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</si>
  <si>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</si>
  <si>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</si>
  <si>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</si>
  <si>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</si>
  <si>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</si>
  <si>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</si>
  <si>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</si>
  <si>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</si>
  <si>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</si>
  <si>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</si>
  <si>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</si>
  <si>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</si>
  <si>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</si>
  <si>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</si>
  <si>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</si>
  <si>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</si>
  <si>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</si>
  <si>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</si>
  <si>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</si>
  <si>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</si>
  <si>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</si>
  <si>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</si>
  <si>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</si>
  <si>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</si>
  <si>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</si>
  <si>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</si>
  <si>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</si>
  <si>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</si>
  <si>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</si>
  <si>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</si>
  <si>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</si>
  <si>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</si>
  <si>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</si>
  <si>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</si>
  <si>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</si>
  <si>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</si>
  <si>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</si>
  <si>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</si>
  <si>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</si>
  <si>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</si>
  <si>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</si>
  <si>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</si>
  <si>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</si>
  <si>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</si>
  <si>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</si>
  <si>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</si>
  <si>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</si>
  <si>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</si>
  <si>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</si>
  <si>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</si>
  <si>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</si>
  <si>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</si>
  <si>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</si>
  <si>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</si>
  <si>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</si>
  <si>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</si>
  <si>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</si>
  <si>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</si>
  <si>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</si>
  <si>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</si>
  <si>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</si>
  <si>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</si>
  <si>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</si>
  <si>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</si>
  <si>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</si>
  <si>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</si>
  <si>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</si>
  <si>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</si>
  <si>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</si>
  <si>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</si>
  <si>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</si>
  <si>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</si>
  <si>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</si>
  <si>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</si>
  <si>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</si>
  <si>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</si>
  <si>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</si>
  <si>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</si>
  <si>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</si>
  <si>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</si>
  <si>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</si>
  <si>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</si>
  <si>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</si>
  <si>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</si>
  <si>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</si>
  <si>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</si>
  <si>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</si>
  <si>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</si>
  <si>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</si>
  <si>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</si>
  <si>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</si>
  <si>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</si>
  <si>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</si>
  <si>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</si>
  <si>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</si>
  <si>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</si>
  <si>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</si>
  <si>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</si>
  <si>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</si>
  <si>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</si>
  <si>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</si>
  <si>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</si>
  <si>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</si>
  <si>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</si>
  <si>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</si>
  <si>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</si>
  <si>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</si>
  <si>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</si>
  <si>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</si>
  <si>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</si>
  <si>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</si>
  <si>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</si>
  <si>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</si>
  <si>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</si>
  <si>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</si>
  <si>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71069</t>
  </si>
  <si>
    <t>HAM</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</si>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</sst>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86546.929895492794</c:v>
                </c:pt>
                <c:pt idx="1">
                  <c:v>34709.249525372776</c:v>
                </c:pt>
                <c:pt idx="2">
                  <c:v>552.077</c:v>
                </c:pt>
                <c:pt idx="3">
                  <c:v>953.19956722820575</c:v>
                </c:pt>
                <c:pt idx="4">
                  <c:v>61957.30004313981</c:v>
                </c:pt>
                <c:pt idx="5">
                  <c:v>145040.35809466278</c:v>
                </c:pt>
                <c:pt idx="6">
                  <c:v>1180.5219662413524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86546.929895492794</c:v>
                </c:pt>
                <c:pt idx="1">
                  <c:v>34709.249525372776</c:v>
                </c:pt>
                <c:pt idx="2">
                  <c:v>552.077</c:v>
                </c:pt>
                <c:pt idx="3">
                  <c:v>953.19956722820575</c:v>
                </c:pt>
                <c:pt idx="4">
                  <c:v>61957.30004313981</c:v>
                </c:pt>
                <c:pt idx="5">
                  <c:v>145040.35809466278</c:v>
                </c:pt>
                <c:pt idx="6">
                  <c:v>1180.5219662413524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15459.234495389062</c:v>
                </c:pt>
                <c:pt idx="1">
                  <c:v>3765.28967318282</c:v>
                </c:pt>
                <c:pt idx="2">
                  <c:v>30.039993973351702</c:v>
                </c:pt>
                <c:pt idx="3">
                  <c:v>216.72532714602821</c:v>
                </c:pt>
                <c:pt idx="4">
                  <c:v>5549.9473386049449</c:v>
                </c:pt>
                <c:pt idx="5">
                  <c:v>36113.728072769096</c:v>
                </c:pt>
                <c:pt idx="6">
                  <c:v>295.30662024554152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15459.234495389062</c:v>
                </c:pt>
                <c:pt idx="1">
                  <c:v>3765.28967318282</c:v>
                </c:pt>
                <c:pt idx="2">
                  <c:v>30.039993973351702</c:v>
                </c:pt>
                <c:pt idx="3">
                  <c:v>216.72532714602821</c:v>
                </c:pt>
                <c:pt idx="4">
                  <c:v>5549.9473386049449</c:v>
                </c:pt>
                <c:pt idx="5">
                  <c:v>36113.728072769096</c:v>
                </c:pt>
                <c:pt idx="6">
                  <c:v>295.30662024554152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71069</v>
      </c>
      <c r="B6" s="386"/>
      <c r="C6" s="387"/>
    </row>
    <row r="7" spans="1:7" s="384" customFormat="1" ht="15.75" customHeight="1">
      <c r="A7" s="388" t="str">
        <f>txtMunicipality</f>
        <v>HAM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22788.371954000006</v>
      </c>
      <c r="D10" s="681">
        <f ca="1">tertiair!C16</f>
        <v>0</v>
      </c>
      <c r="E10" s="681">
        <f ca="1">tertiair!D16</f>
        <v>8917.7678612000018</v>
      </c>
      <c r="F10" s="681">
        <f>tertiair!E16</f>
        <v>276.05480663370145</v>
      </c>
      <c r="G10" s="681">
        <f ca="1">tertiair!F16</f>
        <v>2589.1139531186741</v>
      </c>
      <c r="H10" s="681">
        <f>tertiair!G16</f>
        <v>0</v>
      </c>
      <c r="I10" s="681">
        <f>tertiair!H16</f>
        <v>0</v>
      </c>
      <c r="J10" s="681">
        <f>tertiair!I16</f>
        <v>0</v>
      </c>
      <c r="K10" s="681">
        <f>tertiair!J16</f>
        <v>1.7237548626495697E-2</v>
      </c>
      <c r="L10" s="681">
        <f>tertiair!K16</f>
        <v>0</v>
      </c>
      <c r="M10" s="681">
        <f ca="1">tertiair!L16</f>
        <v>0</v>
      </c>
      <c r="N10" s="681">
        <f>tertiair!M16</f>
        <v>0</v>
      </c>
      <c r="O10" s="681">
        <f ca="1">tertiair!N16</f>
        <v>685.103452105923</v>
      </c>
      <c r="P10" s="681">
        <f>tertiair!O16</f>
        <v>4.8972607658411542</v>
      </c>
      <c r="Q10" s="682">
        <f>tertiair!P16</f>
        <v>0</v>
      </c>
      <c r="R10" s="684">
        <f ca="1">SUM(C10:Q10)</f>
        <v>35261.32652537278</v>
      </c>
      <c r="S10" s="67"/>
    </row>
    <row r="11" spans="1:19" s="444" customFormat="1">
      <c r="A11" s="802" t="s">
        <v>219</v>
      </c>
      <c r="B11" s="807"/>
      <c r="C11" s="681">
        <f>huishoudens!B8</f>
        <v>17453.507406748773</v>
      </c>
      <c r="D11" s="681">
        <f>huishoudens!C8</f>
        <v>0</v>
      </c>
      <c r="E11" s="681">
        <f>huishoudens!D8</f>
        <v>30302.777990099999</v>
      </c>
      <c r="F11" s="681">
        <f>huishoudens!E8</f>
        <v>1841.9020915380149</v>
      </c>
      <c r="G11" s="681">
        <f>huishoudens!F8</f>
        <v>29693.916614368307</v>
      </c>
      <c r="H11" s="681">
        <f>huishoudens!G8</f>
        <v>0</v>
      </c>
      <c r="I11" s="681">
        <f>huishoudens!H8</f>
        <v>0</v>
      </c>
      <c r="J11" s="681">
        <f>huishoudens!I8</f>
        <v>0</v>
      </c>
      <c r="K11" s="681">
        <f>huishoudens!J8</f>
        <v>118.62588772434142</v>
      </c>
      <c r="L11" s="681">
        <f>huishoudens!K8</f>
        <v>0</v>
      </c>
      <c r="M11" s="681">
        <f>huishoudens!L8</f>
        <v>0</v>
      </c>
      <c r="N11" s="681">
        <f>huishoudens!M8</f>
        <v>0</v>
      </c>
      <c r="O11" s="681">
        <f>huishoudens!N8</f>
        <v>6275.2998833870679</v>
      </c>
      <c r="P11" s="681">
        <f>huishoudens!O8</f>
        <v>386.87185278047122</v>
      </c>
      <c r="Q11" s="682">
        <f>huishoudens!P8</f>
        <v>474.02816884582603</v>
      </c>
      <c r="R11" s="684">
        <f>SUM(C11:Q11)</f>
        <v>86546.929895492794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48086.95695</v>
      </c>
      <c r="D13" s="681">
        <f>industrie!C18</f>
        <v>0</v>
      </c>
      <c r="E13" s="681">
        <f>industrie!D18</f>
        <v>11593.285132000001</v>
      </c>
      <c r="F13" s="681">
        <f>industrie!E18</f>
        <v>415.29753778623274</v>
      </c>
      <c r="G13" s="681">
        <f>industrie!F18</f>
        <v>1859.4552989540289</v>
      </c>
      <c r="H13" s="681">
        <f>industrie!G18</f>
        <v>0</v>
      </c>
      <c r="I13" s="681">
        <f>industrie!H18</f>
        <v>0</v>
      </c>
      <c r="J13" s="681">
        <f>industrie!I18</f>
        <v>0</v>
      </c>
      <c r="K13" s="681">
        <f>industrie!J18</f>
        <v>2.3051243995472541</v>
      </c>
      <c r="L13" s="681">
        <f>industrie!K18</f>
        <v>0</v>
      </c>
      <c r="M13" s="681">
        <f>industrie!L18</f>
        <v>0</v>
      </c>
      <c r="N13" s="681">
        <f>industrie!M18</f>
        <v>0</v>
      </c>
      <c r="O13" s="681">
        <f>industrie!N18</f>
        <v>0</v>
      </c>
      <c r="P13" s="681">
        <f>industrie!O18</f>
        <v>0</v>
      </c>
      <c r="Q13" s="682">
        <f>industrie!P18</f>
        <v>0</v>
      </c>
      <c r="R13" s="684">
        <f>SUM(C13:Q13)</f>
        <v>61957.30004313981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88328.836310748768</v>
      </c>
      <c r="D16" s="717">
        <f t="shared" ref="D16:R16" ca="1" si="0">SUM(D9:D15)</f>
        <v>0</v>
      </c>
      <c r="E16" s="717">
        <f t="shared" ca="1" si="0"/>
        <v>50813.830983300009</v>
      </c>
      <c r="F16" s="717">
        <f t="shared" si="0"/>
        <v>2533.2544359579492</v>
      </c>
      <c r="G16" s="717">
        <f t="shared" ca="1" si="0"/>
        <v>34142.485866441013</v>
      </c>
      <c r="H16" s="717">
        <f t="shared" si="0"/>
        <v>0</v>
      </c>
      <c r="I16" s="717">
        <f t="shared" si="0"/>
        <v>0</v>
      </c>
      <c r="J16" s="717">
        <f t="shared" si="0"/>
        <v>0</v>
      </c>
      <c r="K16" s="717">
        <f t="shared" si="0"/>
        <v>120.94824967251517</v>
      </c>
      <c r="L16" s="717">
        <f t="shared" si="0"/>
        <v>0</v>
      </c>
      <c r="M16" s="717">
        <f t="shared" ca="1" si="0"/>
        <v>0</v>
      </c>
      <c r="N16" s="717">
        <f t="shared" si="0"/>
        <v>0</v>
      </c>
      <c r="O16" s="717">
        <f t="shared" ca="1" si="0"/>
        <v>6960.4033354929907</v>
      </c>
      <c r="P16" s="717">
        <f t="shared" si="0"/>
        <v>391.76911354631238</v>
      </c>
      <c r="Q16" s="717">
        <f t="shared" si="0"/>
        <v>474.02816884582603</v>
      </c>
      <c r="R16" s="717">
        <f t="shared" ca="1" si="0"/>
        <v>183765.55646400538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15.222803016216075</v>
      </c>
      <c r="D19" s="681">
        <f>transport!C54</f>
        <v>0</v>
      </c>
      <c r="E19" s="681">
        <f>transport!D54</f>
        <v>0</v>
      </c>
      <c r="F19" s="681">
        <f>transport!E54</f>
        <v>0</v>
      </c>
      <c r="G19" s="681">
        <f>transport!F54</f>
        <v>0</v>
      </c>
      <c r="H19" s="681">
        <f>transport!G54</f>
        <v>1102.9150060035333</v>
      </c>
      <c r="I19" s="681">
        <f>transport!H54</f>
        <v>0</v>
      </c>
      <c r="J19" s="681">
        <f>transport!I54</f>
        <v>0</v>
      </c>
      <c r="K19" s="681">
        <f>transport!J54</f>
        <v>0</v>
      </c>
      <c r="L19" s="681">
        <f>transport!K54</f>
        <v>0</v>
      </c>
      <c r="M19" s="681">
        <f>transport!L54</f>
        <v>0</v>
      </c>
      <c r="N19" s="681">
        <f>transport!M54</f>
        <v>62.384157221602791</v>
      </c>
      <c r="O19" s="681">
        <f>transport!N54</f>
        <v>0</v>
      </c>
      <c r="P19" s="681">
        <f>transport!O54</f>
        <v>0</v>
      </c>
      <c r="Q19" s="682">
        <f>transport!P54</f>
        <v>0</v>
      </c>
      <c r="R19" s="684">
        <f>SUM(C19:Q19)</f>
        <v>1180.5219662413524</v>
      </c>
      <c r="S19" s="67"/>
    </row>
    <row r="20" spans="1:19" s="444" customFormat="1">
      <c r="A20" s="802" t="s">
        <v>301</v>
      </c>
      <c r="B20" s="807"/>
      <c r="C20" s="681">
        <f>transport!B14</f>
        <v>154.2799497771482</v>
      </c>
      <c r="D20" s="681">
        <f>transport!C14</f>
        <v>0</v>
      </c>
      <c r="E20" s="681">
        <f>transport!D14</f>
        <v>247.76907225092549</v>
      </c>
      <c r="F20" s="681">
        <f>transport!E14</f>
        <v>234.49577322694762</v>
      </c>
      <c r="G20" s="681">
        <f>transport!F14</f>
        <v>0</v>
      </c>
      <c r="H20" s="681">
        <f>transport!G14</f>
        <v>113911.84684143389</v>
      </c>
      <c r="I20" s="681">
        <f>transport!H14</f>
        <v>22440.121630922433</v>
      </c>
      <c r="J20" s="681">
        <f>transport!I14</f>
        <v>0</v>
      </c>
      <c r="K20" s="681">
        <f>transport!J14</f>
        <v>0</v>
      </c>
      <c r="L20" s="681">
        <f>transport!K14</f>
        <v>0</v>
      </c>
      <c r="M20" s="681">
        <f>transport!L14</f>
        <v>0</v>
      </c>
      <c r="N20" s="681">
        <f>transport!M14</f>
        <v>8051.8448270514482</v>
      </c>
      <c r="O20" s="681">
        <f>transport!N14</f>
        <v>0</v>
      </c>
      <c r="P20" s="681">
        <f>transport!O14</f>
        <v>0</v>
      </c>
      <c r="Q20" s="682">
        <f>transport!P14</f>
        <v>0</v>
      </c>
      <c r="R20" s="684">
        <f>SUM(C20:Q20)</f>
        <v>145040.35809466278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169.50275279336427</v>
      </c>
      <c r="D22" s="805">
        <f t="shared" ref="D22:R22" si="1">SUM(D18:D21)</f>
        <v>0</v>
      </c>
      <c r="E22" s="805">
        <f t="shared" si="1"/>
        <v>247.76907225092549</v>
      </c>
      <c r="F22" s="805">
        <f t="shared" si="1"/>
        <v>234.49577322694762</v>
      </c>
      <c r="G22" s="805">
        <f t="shared" si="1"/>
        <v>0</v>
      </c>
      <c r="H22" s="805">
        <f t="shared" si="1"/>
        <v>115014.76184743742</v>
      </c>
      <c r="I22" s="805">
        <f t="shared" si="1"/>
        <v>22440.121630922433</v>
      </c>
      <c r="J22" s="805">
        <f t="shared" si="1"/>
        <v>0</v>
      </c>
      <c r="K22" s="805">
        <f t="shared" si="1"/>
        <v>0</v>
      </c>
      <c r="L22" s="805">
        <f t="shared" si="1"/>
        <v>0</v>
      </c>
      <c r="M22" s="805">
        <f t="shared" si="1"/>
        <v>0</v>
      </c>
      <c r="N22" s="805">
        <f t="shared" si="1"/>
        <v>8114.2289842730506</v>
      </c>
      <c r="O22" s="805">
        <f t="shared" si="1"/>
        <v>0</v>
      </c>
      <c r="P22" s="805">
        <f t="shared" si="1"/>
        <v>0</v>
      </c>
      <c r="Q22" s="805">
        <f t="shared" si="1"/>
        <v>0</v>
      </c>
      <c r="R22" s="805">
        <f t="shared" si="1"/>
        <v>146220.88006090414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193.762</v>
      </c>
      <c r="D24" s="681">
        <f>+landbouw!C8</f>
        <v>0</v>
      </c>
      <c r="E24" s="681">
        <f>+landbouw!D8</f>
        <v>15.231171999999999</v>
      </c>
      <c r="F24" s="681">
        <f>+landbouw!E8</f>
        <v>6.0472481251749706</v>
      </c>
      <c r="G24" s="681">
        <f>+landbouw!F8</f>
        <v>684.77637237533713</v>
      </c>
      <c r="H24" s="681">
        <f>+landbouw!G8</f>
        <v>0</v>
      </c>
      <c r="I24" s="681">
        <f>+landbouw!H8</f>
        <v>0</v>
      </c>
      <c r="J24" s="681">
        <f>+landbouw!I8</f>
        <v>0</v>
      </c>
      <c r="K24" s="681">
        <f>+landbouw!J8</f>
        <v>53.382774727693658</v>
      </c>
      <c r="L24" s="681">
        <f>+landbouw!K8</f>
        <v>0</v>
      </c>
      <c r="M24" s="681">
        <f>+landbouw!L8</f>
        <v>0</v>
      </c>
      <c r="N24" s="681">
        <f>+landbouw!M8</f>
        <v>0</v>
      </c>
      <c r="O24" s="681">
        <f>+landbouw!N8</f>
        <v>0</v>
      </c>
      <c r="P24" s="681">
        <f>+landbouw!O8</f>
        <v>0</v>
      </c>
      <c r="Q24" s="682">
        <f>+landbouw!P8</f>
        <v>0</v>
      </c>
      <c r="R24" s="684">
        <f>SUM(C24:Q24)</f>
        <v>953.19956722820575</v>
      </c>
      <c r="S24" s="67"/>
    </row>
    <row r="25" spans="1:19" s="444" customFormat="1" ht="15" thickBot="1">
      <c r="A25" s="824" t="s">
        <v>714</v>
      </c>
      <c r="B25" s="943"/>
      <c r="C25" s="944">
        <f>IF(Onbekend_ele_kWh="---",0,Onbekend_ele_kWh)/1000+IF(REST_rest_ele_kWh="---",0,REST_rest_ele_kWh)/1000</f>
        <v>347.59719999999999</v>
      </c>
      <c r="D25" s="944"/>
      <c r="E25" s="944">
        <f>IF(onbekend_gas_kWh="---",0,onbekend_gas_kWh)/1000+IF(REST_rest_gas_kWh="---",0,REST_rest_gas_kWh)/1000</f>
        <v>806.25959999999998</v>
      </c>
      <c r="F25" s="944"/>
      <c r="G25" s="944"/>
      <c r="H25" s="944"/>
      <c r="I25" s="944"/>
      <c r="J25" s="944"/>
      <c r="K25" s="944"/>
      <c r="L25" s="944"/>
      <c r="M25" s="944"/>
      <c r="N25" s="944"/>
      <c r="O25" s="944"/>
      <c r="P25" s="944"/>
      <c r="Q25" s="945"/>
      <c r="R25" s="684">
        <f>SUM(C25:Q25)</f>
        <v>1153.8568</v>
      </c>
      <c r="S25" s="67"/>
    </row>
    <row r="26" spans="1:19" s="444" customFormat="1" ht="15.75" thickBot="1">
      <c r="A26" s="689" t="s">
        <v>715</v>
      </c>
      <c r="B26" s="810"/>
      <c r="C26" s="805">
        <f>SUM(C24:C25)</f>
        <v>541.35919999999999</v>
      </c>
      <c r="D26" s="805">
        <f t="shared" ref="D26:R26" si="2">SUM(D24:D25)</f>
        <v>0</v>
      </c>
      <c r="E26" s="805">
        <f t="shared" si="2"/>
        <v>821.49077199999999</v>
      </c>
      <c r="F26" s="805">
        <f t="shared" si="2"/>
        <v>6.0472481251749706</v>
      </c>
      <c r="G26" s="805">
        <f t="shared" si="2"/>
        <v>684.77637237533713</v>
      </c>
      <c r="H26" s="805">
        <f t="shared" si="2"/>
        <v>0</v>
      </c>
      <c r="I26" s="805">
        <f t="shared" si="2"/>
        <v>0</v>
      </c>
      <c r="J26" s="805">
        <f t="shared" si="2"/>
        <v>0</v>
      </c>
      <c r="K26" s="805">
        <f t="shared" si="2"/>
        <v>53.382774727693658</v>
      </c>
      <c r="L26" s="805">
        <f t="shared" si="2"/>
        <v>0</v>
      </c>
      <c r="M26" s="805">
        <f t="shared" si="2"/>
        <v>0</v>
      </c>
      <c r="N26" s="805">
        <f t="shared" si="2"/>
        <v>0</v>
      </c>
      <c r="O26" s="805">
        <f t="shared" si="2"/>
        <v>0</v>
      </c>
      <c r="P26" s="805">
        <f t="shared" si="2"/>
        <v>0</v>
      </c>
      <c r="Q26" s="805">
        <f t="shared" si="2"/>
        <v>0</v>
      </c>
      <c r="R26" s="805">
        <f t="shared" si="2"/>
        <v>2107.056367228206</v>
      </c>
      <c r="S26" s="67"/>
    </row>
    <row r="27" spans="1:19" s="444" customFormat="1" ht="17.25" thickTop="1" thickBot="1">
      <c r="A27" s="690" t="s">
        <v>115</v>
      </c>
      <c r="B27" s="797"/>
      <c r="C27" s="691">
        <f ca="1">C22+C16+C26</f>
        <v>89039.698263542145</v>
      </c>
      <c r="D27" s="691">
        <f t="shared" ref="D27:R27" ca="1" si="3">D22+D16+D26</f>
        <v>0</v>
      </c>
      <c r="E27" s="691">
        <f t="shared" ca="1" si="3"/>
        <v>51883.090827550936</v>
      </c>
      <c r="F27" s="691">
        <f t="shared" si="3"/>
        <v>2773.7974573100719</v>
      </c>
      <c r="G27" s="691">
        <f t="shared" ca="1" si="3"/>
        <v>34827.262238816351</v>
      </c>
      <c r="H27" s="691">
        <f t="shared" si="3"/>
        <v>115014.76184743742</v>
      </c>
      <c r="I27" s="691">
        <f t="shared" si="3"/>
        <v>22440.121630922433</v>
      </c>
      <c r="J27" s="691">
        <f t="shared" si="3"/>
        <v>0</v>
      </c>
      <c r="K27" s="691">
        <f t="shared" si="3"/>
        <v>174.33102440020883</v>
      </c>
      <c r="L27" s="691">
        <f t="shared" si="3"/>
        <v>0</v>
      </c>
      <c r="M27" s="691">
        <f t="shared" ca="1" si="3"/>
        <v>0</v>
      </c>
      <c r="N27" s="691">
        <f t="shared" si="3"/>
        <v>8114.2289842730506</v>
      </c>
      <c r="O27" s="691">
        <f t="shared" ca="1" si="3"/>
        <v>6960.4033354929907</v>
      </c>
      <c r="P27" s="691">
        <f t="shared" si="3"/>
        <v>391.76911354631238</v>
      </c>
      <c r="Q27" s="691">
        <f t="shared" si="3"/>
        <v>474.02816884582603</v>
      </c>
      <c r="R27" s="691">
        <f t="shared" ca="1" si="3"/>
        <v>332093.49289213773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1239.9765905130212</v>
      </c>
      <c r="D40" s="681">
        <f ca="1">tertiair!C20</f>
        <v>0</v>
      </c>
      <c r="E40" s="681">
        <f ca="1">tertiair!D20</f>
        <v>1801.3891079624004</v>
      </c>
      <c r="F40" s="681">
        <f>tertiair!E20</f>
        <v>62.66444110585023</v>
      </c>
      <c r="G40" s="681">
        <f ca="1">tertiair!F20</f>
        <v>691.29342548268608</v>
      </c>
      <c r="H40" s="681">
        <f>tertiair!G20</f>
        <v>0</v>
      </c>
      <c r="I40" s="681">
        <f>tertiair!H20</f>
        <v>0</v>
      </c>
      <c r="J40" s="681">
        <f>tertiair!I20</f>
        <v>0</v>
      </c>
      <c r="K40" s="681">
        <f>tertiair!J20</f>
        <v>6.1020922137794767E-3</v>
      </c>
      <c r="L40" s="681">
        <f>tertiair!K20</f>
        <v>0</v>
      </c>
      <c r="M40" s="681">
        <f ca="1">tertiair!L20</f>
        <v>0</v>
      </c>
      <c r="N40" s="681">
        <f>tertiair!M20</f>
        <v>0</v>
      </c>
      <c r="O40" s="681">
        <f ca="1">tertiair!N20</f>
        <v>0</v>
      </c>
      <c r="P40" s="681">
        <f>tertiair!O20</f>
        <v>0</v>
      </c>
      <c r="Q40" s="764">
        <f>tertiair!P20</f>
        <v>0</v>
      </c>
      <c r="R40" s="843">
        <f t="shared" ca="1" si="4"/>
        <v>3795.3296671561716</v>
      </c>
    </row>
    <row r="41" spans="1:18">
      <c r="A41" s="815" t="s">
        <v>219</v>
      </c>
      <c r="B41" s="822"/>
      <c r="C41" s="681">
        <f ca="1">huishoudens!B12</f>
        <v>949.69226631897811</v>
      </c>
      <c r="D41" s="681">
        <f ca="1">huishoudens!C12</f>
        <v>0</v>
      </c>
      <c r="E41" s="681">
        <f>huishoudens!D12</f>
        <v>6121.1611540002004</v>
      </c>
      <c r="F41" s="681">
        <f>huishoudens!E12</f>
        <v>418.11177477912941</v>
      </c>
      <c r="G41" s="681">
        <f>huishoudens!F12</f>
        <v>7928.2757360363385</v>
      </c>
      <c r="H41" s="681">
        <f>huishoudens!G12</f>
        <v>0</v>
      </c>
      <c r="I41" s="681">
        <f>huishoudens!H12</f>
        <v>0</v>
      </c>
      <c r="J41" s="681">
        <f>huishoudens!I12</f>
        <v>0</v>
      </c>
      <c r="K41" s="681">
        <f>huishoudens!J12</f>
        <v>41.99356425441686</v>
      </c>
      <c r="L41" s="681">
        <f>huishoudens!K12</f>
        <v>0</v>
      </c>
      <c r="M41" s="681">
        <f>huishoudens!L12</f>
        <v>0</v>
      </c>
      <c r="N41" s="681">
        <f>huishoudens!M12</f>
        <v>0</v>
      </c>
      <c r="O41" s="681">
        <f>huishoudens!N12</f>
        <v>0</v>
      </c>
      <c r="P41" s="681">
        <f>huishoudens!O12</f>
        <v>0</v>
      </c>
      <c r="Q41" s="764">
        <f>huishoudens!P12</f>
        <v>0</v>
      </c>
      <c r="R41" s="843">
        <f t="shared" ca="1" si="4"/>
        <v>15459.234495389062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2616.5406220053051</v>
      </c>
      <c r="D43" s="681">
        <f ca="1">industrie!C22</f>
        <v>0</v>
      </c>
      <c r="E43" s="681">
        <f>industrie!D22</f>
        <v>2341.8435966640004</v>
      </c>
      <c r="F43" s="681">
        <f>industrie!E22</f>
        <v>94.272541077474841</v>
      </c>
      <c r="G43" s="681">
        <f>industrie!F22</f>
        <v>496.47456482072573</v>
      </c>
      <c r="H43" s="681">
        <f>industrie!G22</f>
        <v>0</v>
      </c>
      <c r="I43" s="681">
        <f>industrie!H22</f>
        <v>0</v>
      </c>
      <c r="J43" s="681">
        <f>industrie!I22</f>
        <v>0</v>
      </c>
      <c r="K43" s="681">
        <f>industrie!J22</f>
        <v>0.81601403743972789</v>
      </c>
      <c r="L43" s="681">
        <f>industrie!K22</f>
        <v>0</v>
      </c>
      <c r="M43" s="681">
        <f>industrie!L22</f>
        <v>0</v>
      </c>
      <c r="N43" s="681">
        <f>industrie!M22</f>
        <v>0</v>
      </c>
      <c r="O43" s="681">
        <f>industrie!N22</f>
        <v>0</v>
      </c>
      <c r="P43" s="681">
        <f>industrie!O22</f>
        <v>0</v>
      </c>
      <c r="Q43" s="764">
        <f>industrie!P22</f>
        <v>0</v>
      </c>
      <c r="R43" s="842">
        <f t="shared" ca="1" si="4"/>
        <v>5549.9473386049449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4806.2094788373042</v>
      </c>
      <c r="D46" s="717">
        <f t="shared" ref="D46:Q46" ca="1" si="5">SUM(D39:D45)</f>
        <v>0</v>
      </c>
      <c r="E46" s="717">
        <f t="shared" ca="1" si="5"/>
        <v>10264.393858626601</v>
      </c>
      <c r="F46" s="717">
        <f t="shared" si="5"/>
        <v>575.04875696245449</v>
      </c>
      <c r="G46" s="717">
        <f t="shared" ca="1" si="5"/>
        <v>9116.0437263397507</v>
      </c>
      <c r="H46" s="717">
        <f t="shared" si="5"/>
        <v>0</v>
      </c>
      <c r="I46" s="717">
        <f t="shared" si="5"/>
        <v>0</v>
      </c>
      <c r="J46" s="717">
        <f t="shared" si="5"/>
        <v>0</v>
      </c>
      <c r="K46" s="717">
        <f t="shared" si="5"/>
        <v>42.815680384070369</v>
      </c>
      <c r="L46" s="717">
        <f t="shared" si="5"/>
        <v>0</v>
      </c>
      <c r="M46" s="717">
        <f t="shared" ca="1" si="5"/>
        <v>0</v>
      </c>
      <c r="N46" s="717">
        <f t="shared" si="5"/>
        <v>0</v>
      </c>
      <c r="O46" s="717">
        <f t="shared" ca="1" si="5"/>
        <v>0</v>
      </c>
      <c r="P46" s="717">
        <f t="shared" si="5"/>
        <v>0</v>
      </c>
      <c r="Q46" s="717">
        <f t="shared" si="5"/>
        <v>0</v>
      </c>
      <c r="R46" s="717">
        <f ca="1">SUM(R39:R45)</f>
        <v>24804.511501150177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0.82831364259813578</v>
      </c>
      <c r="D49" s="681">
        <f ca="1">transport!C58</f>
        <v>0</v>
      </c>
      <c r="E49" s="681">
        <f>transport!D58</f>
        <v>0</v>
      </c>
      <c r="F49" s="681">
        <f>transport!E58</f>
        <v>0</v>
      </c>
      <c r="G49" s="681">
        <f>transport!F58</f>
        <v>0</v>
      </c>
      <c r="H49" s="681">
        <f>transport!G58</f>
        <v>294.47830660294341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295.30662024554152</v>
      </c>
    </row>
    <row r="50" spans="1:18">
      <c r="A50" s="818" t="s">
        <v>301</v>
      </c>
      <c r="B50" s="828"/>
      <c r="C50" s="687">
        <f ca="1">transport!B18</f>
        <v>8.3947868893551725</v>
      </c>
      <c r="D50" s="687">
        <f>transport!C18</f>
        <v>0</v>
      </c>
      <c r="E50" s="687">
        <f>transport!D18</f>
        <v>50.049352594686951</v>
      </c>
      <c r="F50" s="687">
        <f>transport!E18</f>
        <v>53.23054052251711</v>
      </c>
      <c r="G50" s="687">
        <f>transport!F18</f>
        <v>0</v>
      </c>
      <c r="H50" s="687">
        <f>transport!G18</f>
        <v>30414.46310666285</v>
      </c>
      <c r="I50" s="687">
        <f>transport!H18</f>
        <v>5587.5902860996857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36113.728072769096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9.2231005319533086</v>
      </c>
      <c r="D52" s="717">
        <f t="shared" ref="D52:Q52" ca="1" si="6">SUM(D48:D51)</f>
        <v>0</v>
      </c>
      <c r="E52" s="717">
        <f t="shared" si="6"/>
        <v>50.049352594686951</v>
      </c>
      <c r="F52" s="717">
        <f t="shared" si="6"/>
        <v>53.23054052251711</v>
      </c>
      <c r="G52" s="717">
        <f t="shared" si="6"/>
        <v>0</v>
      </c>
      <c r="H52" s="717">
        <f t="shared" si="6"/>
        <v>30708.941413265795</v>
      </c>
      <c r="I52" s="717">
        <f t="shared" si="6"/>
        <v>5587.5902860996857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36409.034693014641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10.543111399794906</v>
      </c>
      <c r="D54" s="687">
        <f ca="1">+landbouw!C12</f>
        <v>0</v>
      </c>
      <c r="E54" s="687">
        <f>+landbouw!D12</f>
        <v>3.0766967439999999</v>
      </c>
      <c r="F54" s="687">
        <f>+landbouw!E12</f>
        <v>1.3727253244147184</v>
      </c>
      <c r="G54" s="687">
        <f>+landbouw!F12</f>
        <v>182.83529142421503</v>
      </c>
      <c r="H54" s="687">
        <f>+landbouw!G12</f>
        <v>0</v>
      </c>
      <c r="I54" s="687">
        <f>+landbouw!H12</f>
        <v>0</v>
      </c>
      <c r="J54" s="687">
        <f>+landbouw!I12</f>
        <v>0</v>
      </c>
      <c r="K54" s="687">
        <f>+landbouw!J12</f>
        <v>18.897502253603555</v>
      </c>
      <c r="L54" s="687">
        <f>+landbouw!K12</f>
        <v>0</v>
      </c>
      <c r="M54" s="687">
        <f>+landbouw!L12</f>
        <v>0</v>
      </c>
      <c r="N54" s="687">
        <f>+landbouw!M12</f>
        <v>0</v>
      </c>
      <c r="O54" s="687">
        <f>+landbouw!N12</f>
        <v>0</v>
      </c>
      <c r="P54" s="687">
        <f>+landbouw!O12</f>
        <v>0</v>
      </c>
      <c r="Q54" s="688">
        <f>+landbouw!P12</f>
        <v>0</v>
      </c>
      <c r="R54" s="716">
        <f ca="1">SUM(C54:Q54)</f>
        <v>216.72532714602821</v>
      </c>
    </row>
    <row r="55" spans="1:18" ht="15" thickBot="1">
      <c r="A55" s="818" t="s">
        <v>714</v>
      </c>
      <c r="B55" s="828"/>
      <c r="C55" s="687">
        <f ca="1">C25*'EF ele_warmte'!B12</f>
        <v>18.913698257949392</v>
      </c>
      <c r="D55" s="687"/>
      <c r="E55" s="687">
        <f>E25*EF_CO2_aardgas</f>
        <v>162.86443919999999</v>
      </c>
      <c r="F55" s="687"/>
      <c r="G55" s="687"/>
      <c r="H55" s="687"/>
      <c r="I55" s="687"/>
      <c r="J55" s="687"/>
      <c r="K55" s="687"/>
      <c r="L55" s="687"/>
      <c r="M55" s="687"/>
      <c r="N55" s="687"/>
      <c r="O55" s="687"/>
      <c r="P55" s="687"/>
      <c r="Q55" s="688"/>
      <c r="R55" s="716">
        <f ca="1">SUM(C55:Q55)</f>
        <v>181.77813745794938</v>
      </c>
    </row>
    <row r="56" spans="1:18" ht="15.75" thickBot="1">
      <c r="A56" s="816" t="s">
        <v>715</v>
      </c>
      <c r="B56" s="829"/>
      <c r="C56" s="717">
        <f ca="1">SUM(C54:C55)</f>
        <v>29.456809657744298</v>
      </c>
      <c r="D56" s="717">
        <f t="shared" ref="D56:Q56" ca="1" si="7">SUM(D54:D55)</f>
        <v>0</v>
      </c>
      <c r="E56" s="717">
        <f t="shared" si="7"/>
        <v>165.941135944</v>
      </c>
      <c r="F56" s="717">
        <f t="shared" si="7"/>
        <v>1.3727253244147184</v>
      </c>
      <c r="G56" s="717">
        <f t="shared" si="7"/>
        <v>182.83529142421503</v>
      </c>
      <c r="H56" s="717">
        <f t="shared" si="7"/>
        <v>0</v>
      </c>
      <c r="I56" s="717">
        <f t="shared" si="7"/>
        <v>0</v>
      </c>
      <c r="J56" s="717">
        <f t="shared" si="7"/>
        <v>0</v>
      </c>
      <c r="K56" s="717">
        <f t="shared" si="7"/>
        <v>18.897502253603555</v>
      </c>
      <c r="L56" s="717">
        <f t="shared" si="7"/>
        <v>0</v>
      </c>
      <c r="M56" s="717">
        <f t="shared" si="7"/>
        <v>0</v>
      </c>
      <c r="N56" s="717">
        <f t="shared" si="7"/>
        <v>0</v>
      </c>
      <c r="O56" s="717">
        <f t="shared" si="7"/>
        <v>0</v>
      </c>
      <c r="P56" s="717">
        <f t="shared" si="7"/>
        <v>0</v>
      </c>
      <c r="Q56" s="718">
        <f t="shared" si="7"/>
        <v>0</v>
      </c>
      <c r="R56" s="719">
        <f ca="1">SUM(R54:R55)</f>
        <v>398.50346460397759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4844.8893890270019</v>
      </c>
      <c r="D61" s="725">
        <f t="shared" ref="D61:Q61" ca="1" si="8">D46+D52+D56</f>
        <v>0</v>
      </c>
      <c r="E61" s="725">
        <f t="shared" ca="1" si="8"/>
        <v>10480.384347165289</v>
      </c>
      <c r="F61" s="725">
        <f t="shared" si="8"/>
        <v>629.65202280938638</v>
      </c>
      <c r="G61" s="725">
        <f t="shared" ca="1" si="8"/>
        <v>9298.8790177639657</v>
      </c>
      <c r="H61" s="725">
        <f t="shared" si="8"/>
        <v>30708.941413265795</v>
      </c>
      <c r="I61" s="725">
        <f t="shared" si="8"/>
        <v>5587.5902860996857</v>
      </c>
      <c r="J61" s="725">
        <f t="shared" si="8"/>
        <v>0</v>
      </c>
      <c r="K61" s="725">
        <f t="shared" si="8"/>
        <v>61.713182637673924</v>
      </c>
      <c r="L61" s="725">
        <f t="shared" si="8"/>
        <v>0</v>
      </c>
      <c r="M61" s="725">
        <f t="shared" ca="1" si="8"/>
        <v>0</v>
      </c>
      <c r="N61" s="725">
        <f t="shared" si="8"/>
        <v>0</v>
      </c>
      <c r="O61" s="725">
        <f t="shared" ca="1" si="8"/>
        <v>0</v>
      </c>
      <c r="P61" s="725">
        <f t="shared" si="8"/>
        <v>0</v>
      </c>
      <c r="Q61" s="725">
        <f t="shared" si="8"/>
        <v>0</v>
      </c>
      <c r="R61" s="725">
        <f ca="1">R46+R52+R56</f>
        <v>61612.049658768796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5.4412688761443971E-2</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14327.938697769952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1719.7821235023039</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6879.4010213332231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44190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110475</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67117.121842605484</v>
      </c>
      <c r="C78" s="743">
        <f>SUM(C72:C77)</f>
        <v>0</v>
      </c>
      <c r="D78" s="744">
        <f t="shared" ref="D78:H78" si="10">SUM(D76:D77)</f>
        <v>0</v>
      </c>
      <c r="E78" s="744">
        <f t="shared" si="10"/>
        <v>0</v>
      </c>
      <c r="F78" s="744">
        <f t="shared" si="10"/>
        <v>0</v>
      </c>
      <c r="G78" s="744">
        <f t="shared" si="10"/>
        <v>0</v>
      </c>
      <c r="H78" s="744">
        <f t="shared" si="10"/>
        <v>0</v>
      </c>
      <c r="I78" s="744">
        <f>SUM(I76:I77)</f>
        <v>0</v>
      </c>
      <c r="J78" s="744">
        <f>SUM(J76:J77)</f>
        <v>110475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17453.507406748773</v>
      </c>
      <c r="C4" s="448">
        <f>huishoudens!C8</f>
        <v>0</v>
      </c>
      <c r="D4" s="448">
        <f>huishoudens!D8</f>
        <v>30302.777990099999</v>
      </c>
      <c r="E4" s="448">
        <f>huishoudens!E8</f>
        <v>1841.9020915380149</v>
      </c>
      <c r="F4" s="448">
        <f>huishoudens!F8</f>
        <v>29693.916614368307</v>
      </c>
      <c r="G4" s="448">
        <f>huishoudens!G8</f>
        <v>0</v>
      </c>
      <c r="H4" s="448">
        <f>huishoudens!H8</f>
        <v>0</v>
      </c>
      <c r="I4" s="448">
        <f>huishoudens!I8</f>
        <v>0</v>
      </c>
      <c r="J4" s="448">
        <f>huishoudens!J8</f>
        <v>118.62588772434142</v>
      </c>
      <c r="K4" s="448">
        <f>huishoudens!K8</f>
        <v>0</v>
      </c>
      <c r="L4" s="448">
        <f>huishoudens!L8</f>
        <v>0</v>
      </c>
      <c r="M4" s="448">
        <f>huishoudens!M8</f>
        <v>0</v>
      </c>
      <c r="N4" s="448">
        <f>huishoudens!N8</f>
        <v>6275.2998833870679</v>
      </c>
      <c r="O4" s="448">
        <f>huishoudens!O8</f>
        <v>386.87185278047122</v>
      </c>
      <c r="P4" s="449">
        <f>huishoudens!P8</f>
        <v>474.02816884582603</v>
      </c>
      <c r="Q4" s="450">
        <f>SUM(B4:P4)</f>
        <v>86546.929895492794</v>
      </c>
    </row>
    <row r="5" spans="1:17">
      <c r="A5" s="447" t="s">
        <v>155</v>
      </c>
      <c r="B5" s="448">
        <f ca="1">tertiair!B16</f>
        <v>22236.294954000005</v>
      </c>
      <c r="C5" s="448">
        <f ca="1">tertiair!C16</f>
        <v>0</v>
      </c>
      <c r="D5" s="448">
        <f ca="1">tertiair!D16</f>
        <v>8917.7678612000018</v>
      </c>
      <c r="E5" s="448">
        <f>tertiair!E16</f>
        <v>276.05480663370145</v>
      </c>
      <c r="F5" s="448">
        <f ca="1">tertiair!F16</f>
        <v>2589.1139531186741</v>
      </c>
      <c r="G5" s="448">
        <f>tertiair!G16</f>
        <v>0</v>
      </c>
      <c r="H5" s="448">
        <f>tertiair!H16</f>
        <v>0</v>
      </c>
      <c r="I5" s="448">
        <f>tertiair!I16</f>
        <v>0</v>
      </c>
      <c r="J5" s="448">
        <f>tertiair!J16</f>
        <v>1.7237548626495697E-2</v>
      </c>
      <c r="K5" s="448">
        <f>tertiair!K16</f>
        <v>0</v>
      </c>
      <c r="L5" s="448">
        <f ca="1">tertiair!L16</f>
        <v>0</v>
      </c>
      <c r="M5" s="448">
        <f>tertiair!M16</f>
        <v>0</v>
      </c>
      <c r="N5" s="448">
        <f ca="1">tertiair!N16</f>
        <v>685.103452105923</v>
      </c>
      <c r="O5" s="448">
        <f>tertiair!O16</f>
        <v>4.8972607658411542</v>
      </c>
      <c r="P5" s="449">
        <f>tertiair!P16</f>
        <v>0</v>
      </c>
      <c r="Q5" s="447">
        <f t="shared" ref="Q5:Q14" ca="1" si="0">SUM(B5:P5)</f>
        <v>34709.249525372776</v>
      </c>
    </row>
    <row r="6" spans="1:17">
      <c r="A6" s="447" t="s">
        <v>193</v>
      </c>
      <c r="B6" s="448">
        <f>'openbare verlichting'!B8</f>
        <v>552.077</v>
      </c>
      <c r="C6" s="448"/>
      <c r="D6" s="448"/>
      <c r="E6" s="448"/>
      <c r="F6" s="448"/>
      <c r="G6" s="448"/>
      <c r="H6" s="448"/>
      <c r="I6" s="448"/>
      <c r="J6" s="448"/>
      <c r="K6" s="448"/>
      <c r="L6" s="448"/>
      <c r="M6" s="448"/>
      <c r="N6" s="448"/>
      <c r="O6" s="448"/>
      <c r="P6" s="449"/>
      <c r="Q6" s="447">
        <f t="shared" si="0"/>
        <v>552.077</v>
      </c>
    </row>
    <row r="7" spans="1:17">
      <c r="A7" s="447" t="s">
        <v>111</v>
      </c>
      <c r="B7" s="448">
        <f>landbouw!B8</f>
        <v>193.762</v>
      </c>
      <c r="C7" s="448">
        <f>landbouw!C8</f>
        <v>0</v>
      </c>
      <c r="D7" s="448">
        <f>landbouw!D8</f>
        <v>15.231171999999999</v>
      </c>
      <c r="E7" s="448">
        <f>landbouw!E8</f>
        <v>6.0472481251749706</v>
      </c>
      <c r="F7" s="448">
        <f>landbouw!F8</f>
        <v>684.77637237533713</v>
      </c>
      <c r="G7" s="448">
        <f>landbouw!G8</f>
        <v>0</v>
      </c>
      <c r="H7" s="448">
        <f>landbouw!H8</f>
        <v>0</v>
      </c>
      <c r="I7" s="448">
        <f>landbouw!I8</f>
        <v>0</v>
      </c>
      <c r="J7" s="448">
        <f>landbouw!J8</f>
        <v>53.382774727693658</v>
      </c>
      <c r="K7" s="448">
        <f>landbouw!K8</f>
        <v>0</v>
      </c>
      <c r="L7" s="448">
        <f>landbouw!L8</f>
        <v>0</v>
      </c>
      <c r="M7" s="448">
        <f>landbouw!M8</f>
        <v>0</v>
      </c>
      <c r="N7" s="448">
        <f>landbouw!N8</f>
        <v>0</v>
      </c>
      <c r="O7" s="448">
        <f>landbouw!O8</f>
        <v>0</v>
      </c>
      <c r="P7" s="449">
        <f>landbouw!P8</f>
        <v>0</v>
      </c>
      <c r="Q7" s="447">
        <f t="shared" si="0"/>
        <v>953.19956722820575</v>
      </c>
    </row>
    <row r="8" spans="1:17">
      <c r="A8" s="447" t="s">
        <v>618</v>
      </c>
      <c r="B8" s="448">
        <f>industrie!B18</f>
        <v>48086.95695</v>
      </c>
      <c r="C8" s="448">
        <f>industrie!C18</f>
        <v>0</v>
      </c>
      <c r="D8" s="448">
        <f>industrie!D18</f>
        <v>11593.285132000001</v>
      </c>
      <c r="E8" s="448">
        <f>industrie!E18</f>
        <v>415.29753778623274</v>
      </c>
      <c r="F8" s="448">
        <f>industrie!F18</f>
        <v>1859.4552989540289</v>
      </c>
      <c r="G8" s="448">
        <f>industrie!G18</f>
        <v>0</v>
      </c>
      <c r="H8" s="448">
        <f>industrie!H18</f>
        <v>0</v>
      </c>
      <c r="I8" s="448">
        <f>industrie!I18</f>
        <v>0</v>
      </c>
      <c r="J8" s="448">
        <f>industrie!J18</f>
        <v>2.3051243995472541</v>
      </c>
      <c r="K8" s="448">
        <f>industrie!K18</f>
        <v>0</v>
      </c>
      <c r="L8" s="448">
        <f>industrie!L18</f>
        <v>0</v>
      </c>
      <c r="M8" s="448">
        <f>industrie!M18</f>
        <v>0</v>
      </c>
      <c r="N8" s="448">
        <f>industrie!N18</f>
        <v>0</v>
      </c>
      <c r="O8" s="448">
        <f>industrie!O18</f>
        <v>0</v>
      </c>
      <c r="P8" s="449">
        <f>industrie!P18</f>
        <v>0</v>
      </c>
      <c r="Q8" s="447">
        <f t="shared" si="0"/>
        <v>61957.30004313981</v>
      </c>
    </row>
    <row r="9" spans="1:17" s="453" customFormat="1">
      <c r="A9" s="451" t="s">
        <v>544</v>
      </c>
      <c r="B9" s="452">
        <f>transport!B14</f>
        <v>154.2799497771482</v>
      </c>
      <c r="C9" s="452">
        <f>transport!C14</f>
        <v>0</v>
      </c>
      <c r="D9" s="452">
        <f>transport!D14</f>
        <v>247.76907225092549</v>
      </c>
      <c r="E9" s="452">
        <f>transport!E14</f>
        <v>234.49577322694762</v>
      </c>
      <c r="F9" s="452">
        <f>transport!F14</f>
        <v>0</v>
      </c>
      <c r="G9" s="452">
        <f>transport!G14</f>
        <v>113911.84684143389</v>
      </c>
      <c r="H9" s="452">
        <f>transport!H14</f>
        <v>22440.121630922433</v>
      </c>
      <c r="I9" s="452">
        <f>transport!I14</f>
        <v>0</v>
      </c>
      <c r="J9" s="452">
        <f>transport!J14</f>
        <v>0</v>
      </c>
      <c r="K9" s="452">
        <f>transport!K14</f>
        <v>0</v>
      </c>
      <c r="L9" s="452">
        <f>transport!L14</f>
        <v>0</v>
      </c>
      <c r="M9" s="452">
        <f>transport!M14</f>
        <v>8051.8448270514482</v>
      </c>
      <c r="N9" s="452">
        <f>transport!N14</f>
        <v>0</v>
      </c>
      <c r="O9" s="452">
        <f>transport!O14</f>
        <v>0</v>
      </c>
      <c r="P9" s="452">
        <f>transport!P14</f>
        <v>0</v>
      </c>
      <c r="Q9" s="451">
        <f>SUM(B9:P9)</f>
        <v>145040.35809466278</v>
      </c>
    </row>
    <row r="10" spans="1:17">
      <c r="A10" s="447" t="s">
        <v>534</v>
      </c>
      <c r="B10" s="448">
        <f>transport!B54</f>
        <v>15.222803016216075</v>
      </c>
      <c r="C10" s="448">
        <f>transport!C54</f>
        <v>0</v>
      </c>
      <c r="D10" s="448">
        <f>transport!D54</f>
        <v>0</v>
      </c>
      <c r="E10" s="448">
        <f>transport!E54</f>
        <v>0</v>
      </c>
      <c r="F10" s="448">
        <f>transport!F54</f>
        <v>0</v>
      </c>
      <c r="G10" s="448">
        <f>transport!G54</f>
        <v>1102.9150060035333</v>
      </c>
      <c r="H10" s="448">
        <f>transport!H54</f>
        <v>0</v>
      </c>
      <c r="I10" s="448">
        <f>transport!I54</f>
        <v>0</v>
      </c>
      <c r="J10" s="448">
        <f>transport!J54</f>
        <v>0</v>
      </c>
      <c r="K10" s="448">
        <f>transport!K54</f>
        <v>0</v>
      </c>
      <c r="L10" s="448">
        <f>transport!L54</f>
        <v>0</v>
      </c>
      <c r="M10" s="448">
        <f>transport!M54</f>
        <v>62.384157221602791</v>
      </c>
      <c r="N10" s="448">
        <f>transport!N54</f>
        <v>0</v>
      </c>
      <c r="O10" s="448">
        <f>transport!O54</f>
        <v>0</v>
      </c>
      <c r="P10" s="449">
        <f>transport!P54</f>
        <v>0</v>
      </c>
      <c r="Q10" s="447">
        <f t="shared" si="0"/>
        <v>1180.5219662413524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347.59719999999999</v>
      </c>
      <c r="C14" s="455"/>
      <c r="D14" s="455">
        <f>'SEAP template'!E25</f>
        <v>806.25959999999998</v>
      </c>
      <c r="E14" s="455"/>
      <c r="F14" s="455"/>
      <c r="G14" s="455"/>
      <c r="H14" s="455"/>
      <c r="I14" s="455"/>
      <c r="J14" s="455"/>
      <c r="K14" s="455"/>
      <c r="L14" s="455"/>
      <c r="M14" s="455"/>
      <c r="N14" s="455"/>
      <c r="O14" s="455"/>
      <c r="P14" s="456"/>
      <c r="Q14" s="447">
        <f t="shared" si="0"/>
        <v>1153.8568</v>
      </c>
    </row>
    <row r="15" spans="1:17" s="459" customFormat="1">
      <c r="A15" s="457" t="s">
        <v>538</v>
      </c>
      <c r="B15" s="458">
        <f ca="1">SUM(B4:B14)</f>
        <v>89039.698263542159</v>
      </c>
      <c r="C15" s="458">
        <f t="shared" ref="C15:Q15" ca="1" si="1">SUM(C4:C14)</f>
        <v>0</v>
      </c>
      <c r="D15" s="458">
        <f t="shared" ca="1" si="1"/>
        <v>51883.090827550936</v>
      </c>
      <c r="E15" s="458">
        <f t="shared" si="1"/>
        <v>2773.7974573100719</v>
      </c>
      <c r="F15" s="458">
        <f t="shared" ca="1" si="1"/>
        <v>34827.262238816351</v>
      </c>
      <c r="G15" s="458">
        <f t="shared" si="1"/>
        <v>115014.76184743742</v>
      </c>
      <c r="H15" s="458">
        <f t="shared" si="1"/>
        <v>22440.121630922433</v>
      </c>
      <c r="I15" s="458">
        <f t="shared" si="1"/>
        <v>0</v>
      </c>
      <c r="J15" s="458">
        <f t="shared" si="1"/>
        <v>174.33102440020883</v>
      </c>
      <c r="K15" s="458">
        <f t="shared" si="1"/>
        <v>0</v>
      </c>
      <c r="L15" s="458">
        <f t="shared" ca="1" si="1"/>
        <v>0</v>
      </c>
      <c r="M15" s="458">
        <f t="shared" si="1"/>
        <v>8114.2289842730506</v>
      </c>
      <c r="N15" s="458">
        <f t="shared" ca="1" si="1"/>
        <v>6960.4033354929907</v>
      </c>
      <c r="O15" s="458">
        <f t="shared" si="1"/>
        <v>391.76911354631238</v>
      </c>
      <c r="P15" s="458">
        <f t="shared" si="1"/>
        <v>474.02816884582603</v>
      </c>
      <c r="Q15" s="458">
        <f t="shared" ca="1" si="1"/>
        <v>332093.49289213773</v>
      </c>
    </row>
    <row r="17" spans="1:17">
      <c r="A17" s="460" t="s">
        <v>539</v>
      </c>
      <c r="B17" s="776">
        <f ca="1">huishoudens!B10</f>
        <v>5.4412688761443971E-2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949.69226631897811</v>
      </c>
      <c r="C22" s="448">
        <f t="shared" ref="C22:C32" ca="1" si="3">C4*$C$17</f>
        <v>0</v>
      </c>
      <c r="D22" s="448">
        <f t="shared" ref="D22:D32" si="4">D4*$D$17</f>
        <v>6121.1611540002004</v>
      </c>
      <c r="E22" s="448">
        <f t="shared" ref="E22:E32" si="5">E4*$E$17</f>
        <v>418.11177477912941</v>
      </c>
      <c r="F22" s="448">
        <f t="shared" ref="F22:F32" si="6">F4*$F$17</f>
        <v>7928.2757360363385</v>
      </c>
      <c r="G22" s="448">
        <f t="shared" ref="G22:G32" si="7">G4*$G$17</f>
        <v>0</v>
      </c>
      <c r="H22" s="448">
        <f t="shared" ref="H22:H32" si="8">H4*$H$17</f>
        <v>0</v>
      </c>
      <c r="I22" s="448">
        <f t="shared" ref="I22:I32" si="9">I4*$I$17</f>
        <v>0</v>
      </c>
      <c r="J22" s="448">
        <f t="shared" ref="J22:J32" si="10">J4*$J$17</f>
        <v>41.99356425441686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15459.234495389062</v>
      </c>
    </row>
    <row r="23" spans="1:17">
      <c r="A23" s="447" t="s">
        <v>155</v>
      </c>
      <c r="B23" s="448">
        <f t="shared" ca="1" si="2"/>
        <v>1209.9365965396694</v>
      </c>
      <c r="C23" s="448">
        <f t="shared" ca="1" si="3"/>
        <v>0</v>
      </c>
      <c r="D23" s="448">
        <f t="shared" ca="1" si="4"/>
        <v>1801.3891079624004</v>
      </c>
      <c r="E23" s="448">
        <f t="shared" si="5"/>
        <v>62.66444110585023</v>
      </c>
      <c r="F23" s="448">
        <f t="shared" ca="1" si="6"/>
        <v>691.29342548268608</v>
      </c>
      <c r="G23" s="448">
        <f t="shared" si="7"/>
        <v>0</v>
      </c>
      <c r="H23" s="448">
        <f t="shared" si="8"/>
        <v>0</v>
      </c>
      <c r="I23" s="448">
        <f t="shared" si="9"/>
        <v>0</v>
      </c>
      <c r="J23" s="448">
        <f t="shared" si="10"/>
        <v>6.1020922137794767E-3</v>
      </c>
      <c r="K23" s="448">
        <f t="shared" si="11"/>
        <v>0</v>
      </c>
      <c r="L23" s="448">
        <f t="shared" ca="1" si="12"/>
        <v>0</v>
      </c>
      <c r="M23" s="448">
        <f t="shared" si="13"/>
        <v>0</v>
      </c>
      <c r="N23" s="448">
        <f t="shared" ca="1" si="14"/>
        <v>0</v>
      </c>
      <c r="O23" s="448">
        <f t="shared" si="15"/>
        <v>0</v>
      </c>
      <c r="P23" s="449">
        <f t="shared" si="16"/>
        <v>0</v>
      </c>
      <c r="Q23" s="447">
        <f t="shared" ref="Q23:Q31" ca="1" si="17">SUM(B23:P23)</f>
        <v>3765.28967318282</v>
      </c>
    </row>
    <row r="24" spans="1:17">
      <c r="A24" s="447" t="s">
        <v>193</v>
      </c>
      <c r="B24" s="448">
        <f t="shared" ca="1" si="2"/>
        <v>30.039993973351702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30.039993973351702</v>
      </c>
    </row>
    <row r="25" spans="1:17">
      <c r="A25" s="447" t="s">
        <v>111</v>
      </c>
      <c r="B25" s="448">
        <f t="shared" ca="1" si="2"/>
        <v>10.543111399794906</v>
      </c>
      <c r="C25" s="448">
        <f t="shared" ca="1" si="3"/>
        <v>0</v>
      </c>
      <c r="D25" s="448">
        <f t="shared" si="4"/>
        <v>3.0766967439999999</v>
      </c>
      <c r="E25" s="448">
        <f t="shared" si="5"/>
        <v>1.3727253244147184</v>
      </c>
      <c r="F25" s="448">
        <f t="shared" si="6"/>
        <v>182.83529142421503</v>
      </c>
      <c r="G25" s="448">
        <f t="shared" si="7"/>
        <v>0</v>
      </c>
      <c r="H25" s="448">
        <f t="shared" si="8"/>
        <v>0</v>
      </c>
      <c r="I25" s="448">
        <f t="shared" si="9"/>
        <v>0</v>
      </c>
      <c r="J25" s="448">
        <f t="shared" si="10"/>
        <v>18.897502253603555</v>
      </c>
      <c r="K25" s="448">
        <f t="shared" si="11"/>
        <v>0</v>
      </c>
      <c r="L25" s="448">
        <f t="shared" si="12"/>
        <v>0</v>
      </c>
      <c r="M25" s="448">
        <f t="shared" si="13"/>
        <v>0</v>
      </c>
      <c r="N25" s="448">
        <f t="shared" si="14"/>
        <v>0</v>
      </c>
      <c r="O25" s="448">
        <f t="shared" si="15"/>
        <v>0</v>
      </c>
      <c r="P25" s="449">
        <f t="shared" si="16"/>
        <v>0</v>
      </c>
      <c r="Q25" s="447">
        <f t="shared" ca="1" si="17"/>
        <v>216.72532714602821</v>
      </c>
    </row>
    <row r="26" spans="1:17">
      <c r="A26" s="447" t="s">
        <v>618</v>
      </c>
      <c r="B26" s="448">
        <f t="shared" ca="1" si="2"/>
        <v>2616.5406220053051</v>
      </c>
      <c r="C26" s="448">
        <f t="shared" ca="1" si="3"/>
        <v>0</v>
      </c>
      <c r="D26" s="448">
        <f t="shared" si="4"/>
        <v>2341.8435966640004</v>
      </c>
      <c r="E26" s="448">
        <f t="shared" si="5"/>
        <v>94.272541077474841</v>
      </c>
      <c r="F26" s="448">
        <f t="shared" si="6"/>
        <v>496.47456482072573</v>
      </c>
      <c r="G26" s="448">
        <f t="shared" si="7"/>
        <v>0</v>
      </c>
      <c r="H26" s="448">
        <f t="shared" si="8"/>
        <v>0</v>
      </c>
      <c r="I26" s="448">
        <f t="shared" si="9"/>
        <v>0</v>
      </c>
      <c r="J26" s="448">
        <f t="shared" si="10"/>
        <v>0.81601403743972789</v>
      </c>
      <c r="K26" s="448">
        <f t="shared" si="11"/>
        <v>0</v>
      </c>
      <c r="L26" s="448">
        <f t="shared" si="12"/>
        <v>0</v>
      </c>
      <c r="M26" s="448">
        <f t="shared" si="13"/>
        <v>0</v>
      </c>
      <c r="N26" s="448">
        <f t="shared" si="14"/>
        <v>0</v>
      </c>
      <c r="O26" s="448">
        <f t="shared" si="15"/>
        <v>0</v>
      </c>
      <c r="P26" s="449">
        <f t="shared" si="16"/>
        <v>0</v>
      </c>
      <c r="Q26" s="447">
        <f t="shared" ca="1" si="17"/>
        <v>5549.9473386049449</v>
      </c>
    </row>
    <row r="27" spans="1:17" s="453" customFormat="1">
      <c r="A27" s="451" t="s">
        <v>544</v>
      </c>
      <c r="B27" s="770">
        <f t="shared" ca="1" si="2"/>
        <v>8.3947868893551725</v>
      </c>
      <c r="C27" s="452">
        <f t="shared" ca="1" si="3"/>
        <v>0</v>
      </c>
      <c r="D27" s="452">
        <f t="shared" si="4"/>
        <v>50.049352594686951</v>
      </c>
      <c r="E27" s="452">
        <f t="shared" si="5"/>
        <v>53.23054052251711</v>
      </c>
      <c r="F27" s="452">
        <f t="shared" si="6"/>
        <v>0</v>
      </c>
      <c r="G27" s="452">
        <f t="shared" si="7"/>
        <v>30414.46310666285</v>
      </c>
      <c r="H27" s="452">
        <f t="shared" si="8"/>
        <v>5587.5902860996857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36113.728072769096</v>
      </c>
    </row>
    <row r="28" spans="1:17" ht="16.5" customHeight="1">
      <c r="A28" s="447" t="s">
        <v>534</v>
      </c>
      <c r="B28" s="448">
        <f t="shared" ca="1" si="2"/>
        <v>0.82831364259813578</v>
      </c>
      <c r="C28" s="448">
        <f t="shared" ca="1" si="3"/>
        <v>0</v>
      </c>
      <c r="D28" s="448">
        <f t="shared" si="4"/>
        <v>0</v>
      </c>
      <c r="E28" s="448">
        <f t="shared" si="5"/>
        <v>0</v>
      </c>
      <c r="F28" s="448">
        <f t="shared" si="6"/>
        <v>0</v>
      </c>
      <c r="G28" s="448">
        <f t="shared" si="7"/>
        <v>294.47830660294341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295.30662024554152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18.913698257949392</v>
      </c>
      <c r="C32" s="448">
        <f t="shared" ca="1" si="3"/>
        <v>0</v>
      </c>
      <c r="D32" s="448">
        <f t="shared" si="4"/>
        <v>162.86443919999999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181.77813745794938</v>
      </c>
    </row>
    <row r="33" spans="1:17" s="459" customFormat="1">
      <c r="A33" s="457" t="s">
        <v>538</v>
      </c>
      <c r="B33" s="458">
        <f ca="1">SUM(B22:B32)</f>
        <v>4844.8893890270019</v>
      </c>
      <c r="C33" s="458">
        <f t="shared" ref="C33:Q33" ca="1" si="19">SUM(C22:C32)</f>
        <v>0</v>
      </c>
      <c r="D33" s="458">
        <f t="shared" ca="1" si="19"/>
        <v>10480.384347165289</v>
      </c>
      <c r="E33" s="458">
        <f t="shared" si="19"/>
        <v>629.65202280938627</v>
      </c>
      <c r="F33" s="458">
        <f t="shared" ca="1" si="19"/>
        <v>9298.8790177639657</v>
      </c>
      <c r="G33" s="458">
        <f t="shared" si="19"/>
        <v>30708.941413265795</v>
      </c>
      <c r="H33" s="458">
        <f t="shared" si="19"/>
        <v>5587.5902860996857</v>
      </c>
      <c r="I33" s="458">
        <f t="shared" si="19"/>
        <v>0</v>
      </c>
      <c r="J33" s="458">
        <f t="shared" si="19"/>
        <v>61.713182637673924</v>
      </c>
      <c r="K33" s="458">
        <f t="shared" si="19"/>
        <v>0</v>
      </c>
      <c r="L33" s="458">
        <f t="shared" ca="1" si="19"/>
        <v>0</v>
      </c>
      <c r="M33" s="458">
        <f t="shared" si="19"/>
        <v>0</v>
      </c>
      <c r="N33" s="458">
        <f t="shared" ca="1" si="19"/>
        <v>0</v>
      </c>
      <c r="O33" s="458">
        <f t="shared" si="19"/>
        <v>0</v>
      </c>
      <c r="P33" s="458">
        <f t="shared" si="19"/>
        <v>0</v>
      </c>
      <c r="Q33" s="458">
        <f t="shared" ca="1" si="19"/>
        <v>61612.049658768796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14327.938697769952</v>
      </c>
      <c r="C4" s="1021"/>
      <c r="D4" s="1021"/>
      <c r="E4" s="1021"/>
      <c r="F4" s="1021"/>
      <c r="G4" s="1021"/>
      <c r="H4" s="1021"/>
      <c r="I4" s="1021"/>
      <c r="J4" s="1021"/>
      <c r="K4" s="1021"/>
      <c r="L4" s="1021"/>
      <c r="M4" s="1021"/>
      <c r="N4" s="1021"/>
      <c r="O4" s="1021"/>
      <c r="P4" s="1022">
        <f>'SEAP template'!Q72</f>
        <v>0</v>
      </c>
    </row>
    <row r="5" spans="1:16">
      <c r="A5" s="1026" t="s">
        <v>244</v>
      </c>
      <c r="B5" s="1021">
        <f>'SEAP template'!B73</f>
        <v>1719.7821235023039</v>
      </c>
      <c r="C5" s="1021"/>
      <c r="D5" s="1021"/>
      <c r="E5" s="1021"/>
      <c r="F5" s="1021"/>
      <c r="G5" s="1021"/>
      <c r="H5" s="1021"/>
      <c r="I5" s="1021"/>
      <c r="J5" s="1021"/>
      <c r="K5" s="1021"/>
      <c r="L5" s="1021"/>
      <c r="M5" s="1021"/>
      <c r="N5" s="1021"/>
      <c r="O5" s="1021"/>
      <c r="P5" s="1022">
        <f>'SEAP template'!Q73</f>
        <v>0</v>
      </c>
    </row>
    <row r="6" spans="1:16">
      <c r="A6" s="1026" t="s">
        <v>245</v>
      </c>
      <c r="B6" s="1021">
        <f>'SEAP template'!B74</f>
        <v>6879.4010213332231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44190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110475</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67117.121842605484</v>
      </c>
      <c r="C10" s="1023">
        <f>SUM(C4:C9)</f>
        <v>0</v>
      </c>
      <c r="D10" s="1023">
        <f t="shared" ref="D10:H10" si="0">SUM(D8:D9)</f>
        <v>0</v>
      </c>
      <c r="E10" s="1023">
        <f t="shared" si="0"/>
        <v>0</v>
      </c>
      <c r="F10" s="1023">
        <f t="shared" si="0"/>
        <v>0</v>
      </c>
      <c r="G10" s="1023">
        <f t="shared" si="0"/>
        <v>0</v>
      </c>
      <c r="H10" s="1023">
        <f t="shared" si="0"/>
        <v>0</v>
      </c>
      <c r="I10" s="1023">
        <f>SUM(I8:I9)</f>
        <v>0</v>
      </c>
      <c r="J10" s="1023">
        <f>SUM(J8:J9)</f>
        <v>110475</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5.4412688761443971E-2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5.4412688761443971E-2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5.4412688761443971E-2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5.4412688761443971E-2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899.28</v>
      </c>
      <c r="C14" s="326"/>
      <c r="D14" s="326"/>
      <c r="E14" s="326"/>
      <c r="F14" s="326"/>
    </row>
    <row r="15" spans="1:6">
      <c r="A15" s="1298" t="s">
        <v>183</v>
      </c>
      <c r="B15" s="1299">
        <v>4</v>
      </c>
      <c r="C15" s="326"/>
      <c r="D15" s="326"/>
      <c r="E15" s="326"/>
      <c r="F15" s="326"/>
    </row>
    <row r="16" spans="1:6">
      <c r="A16" s="1298" t="s">
        <v>6</v>
      </c>
      <c r="B16" s="1299">
        <v>210</v>
      </c>
      <c r="C16" s="326"/>
      <c r="D16" s="326"/>
      <c r="E16" s="326"/>
      <c r="F16" s="326"/>
    </row>
    <row r="17" spans="1:6">
      <c r="A17" s="1298" t="s">
        <v>7</v>
      </c>
      <c r="B17" s="1299">
        <v>64</v>
      </c>
      <c r="C17" s="326"/>
      <c r="D17" s="326"/>
      <c r="E17" s="326"/>
      <c r="F17" s="326"/>
    </row>
    <row r="18" spans="1:6">
      <c r="A18" s="1298" t="s">
        <v>8</v>
      </c>
      <c r="B18" s="1299">
        <v>133</v>
      </c>
      <c r="C18" s="326"/>
      <c r="D18" s="326"/>
      <c r="E18" s="326"/>
      <c r="F18" s="326"/>
    </row>
    <row r="19" spans="1:6">
      <c r="A19" s="1298" t="s">
        <v>9</v>
      </c>
      <c r="B19" s="1299">
        <v>387</v>
      </c>
      <c r="C19" s="326"/>
      <c r="D19" s="326"/>
      <c r="E19" s="326"/>
      <c r="F19" s="326"/>
    </row>
    <row r="20" spans="1:6">
      <c r="A20" s="1298" t="s">
        <v>10</v>
      </c>
      <c r="B20" s="1299">
        <v>192</v>
      </c>
      <c r="C20" s="326"/>
      <c r="D20" s="326"/>
      <c r="E20" s="326"/>
      <c r="F20" s="326"/>
    </row>
    <row r="21" spans="1:6">
      <c r="A21" s="1298" t="s">
        <v>11</v>
      </c>
      <c r="B21" s="1299">
        <v>0</v>
      </c>
      <c r="C21" s="326"/>
      <c r="D21" s="326"/>
      <c r="E21" s="326"/>
      <c r="F21" s="326"/>
    </row>
    <row r="22" spans="1:6">
      <c r="A22" s="1298" t="s">
        <v>12</v>
      </c>
      <c r="B22" s="1299">
        <v>94</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106</v>
      </c>
      <c r="C26" s="326"/>
      <c r="D26" s="326"/>
      <c r="E26" s="326"/>
      <c r="F26" s="326"/>
    </row>
    <row r="27" spans="1:6">
      <c r="A27" s="1298" t="s">
        <v>17</v>
      </c>
      <c r="B27" s="1299">
        <v>4</v>
      </c>
      <c r="C27" s="326"/>
      <c r="D27" s="326"/>
      <c r="E27" s="326"/>
      <c r="F27" s="326"/>
    </row>
    <row r="28" spans="1:6" s="43" customFormat="1">
      <c r="A28" s="1300" t="s">
        <v>18</v>
      </c>
      <c r="B28" s="1301">
        <v>34764</v>
      </c>
      <c r="C28" s="332"/>
      <c r="D28" s="332"/>
      <c r="E28" s="332"/>
      <c r="F28" s="332"/>
    </row>
    <row r="29" spans="1:6">
      <c r="A29" s="1300" t="s">
        <v>695</v>
      </c>
      <c r="B29" s="1301">
        <v>76</v>
      </c>
      <c r="C29" s="332"/>
      <c r="D29" s="332"/>
      <c r="E29" s="332"/>
      <c r="F29" s="332"/>
    </row>
    <row r="30" spans="1:6">
      <c r="A30" s="1293" t="s">
        <v>696</v>
      </c>
      <c r="B30" s="1302">
        <v>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1380337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6597</v>
      </c>
    </row>
    <row r="39" spans="1:6">
      <c r="A39" s="1298" t="s">
        <v>29</v>
      </c>
      <c r="B39" s="1298" t="s">
        <v>30</v>
      </c>
      <c r="C39" s="1299">
        <v>2348</v>
      </c>
      <c r="D39" s="1299">
        <v>33595097.549999997</v>
      </c>
      <c r="E39" s="1299">
        <v>4469</v>
      </c>
      <c r="F39" s="1299">
        <v>13790714.9</v>
      </c>
    </row>
    <row r="40" spans="1:6">
      <c r="A40" s="1298" t="s">
        <v>29</v>
      </c>
      <c r="B40" s="1298" t="s">
        <v>28</v>
      </c>
      <c r="C40" s="1299">
        <v>0</v>
      </c>
      <c r="D40" s="1299">
        <v>0</v>
      </c>
      <c r="E40" s="1299">
        <v>0</v>
      </c>
      <c r="F40" s="1299">
        <v>0</v>
      </c>
    </row>
    <row r="41" spans="1:6">
      <c r="A41" s="1298" t="s">
        <v>31</v>
      </c>
      <c r="B41" s="1298" t="s">
        <v>32</v>
      </c>
      <c r="C41" s="1299">
        <v>51</v>
      </c>
      <c r="D41" s="1299">
        <v>1118066</v>
      </c>
      <c r="E41" s="1299">
        <v>99</v>
      </c>
      <c r="F41" s="1299">
        <v>1128290.95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68036</v>
      </c>
      <c r="E44" s="1299">
        <v>12</v>
      </c>
      <c r="F44" s="1299">
        <v>274601</v>
      </c>
    </row>
    <row r="45" spans="1:6">
      <c r="A45" s="1298" t="s">
        <v>31</v>
      </c>
      <c r="B45" s="1298" t="s">
        <v>36</v>
      </c>
      <c r="C45" s="1299">
        <v>0</v>
      </c>
      <c r="D45" s="1299">
        <v>0</v>
      </c>
      <c r="E45" s="1299">
        <v>7</v>
      </c>
      <c r="F45" s="1299">
        <v>2262212</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11229</v>
      </c>
    </row>
    <row r="48" spans="1:6">
      <c r="A48" s="1298" t="s">
        <v>31</v>
      </c>
      <c r="B48" s="1298" t="s">
        <v>28</v>
      </c>
      <c r="C48" s="1299">
        <v>5</v>
      </c>
      <c r="D48" s="1299">
        <v>11666764</v>
      </c>
      <c r="E48" s="1299">
        <v>2</v>
      </c>
      <c r="F48" s="1299">
        <v>13742</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206882</v>
      </c>
    </row>
    <row r="51" spans="1:6">
      <c r="A51" s="1298" t="s">
        <v>41</v>
      </c>
      <c r="B51" s="1298" t="s">
        <v>42</v>
      </c>
      <c r="C51" s="1299">
        <v>0</v>
      </c>
      <c r="D51" s="1299">
        <v>0</v>
      </c>
      <c r="E51" s="1299">
        <v>14</v>
      </c>
      <c r="F51" s="1299">
        <v>193762</v>
      </c>
    </row>
    <row r="52" spans="1:6">
      <c r="A52" s="1298" t="s">
        <v>41</v>
      </c>
      <c r="B52" s="1298" t="s">
        <v>28</v>
      </c>
      <c r="C52" s="1299">
        <v>1</v>
      </c>
      <c r="D52" s="1299">
        <v>16886</v>
      </c>
      <c r="E52" s="1299">
        <v>0</v>
      </c>
      <c r="F52" s="1299">
        <v>0</v>
      </c>
    </row>
    <row r="53" spans="1:6">
      <c r="A53" s="1298" t="s">
        <v>43</v>
      </c>
      <c r="B53" s="1298" t="s">
        <v>44</v>
      </c>
      <c r="C53" s="1299">
        <v>38</v>
      </c>
      <c r="D53" s="1299">
        <v>806259.6</v>
      </c>
      <c r="E53" s="1299">
        <v>94</v>
      </c>
      <c r="F53" s="1299">
        <v>347597.2</v>
      </c>
    </row>
    <row r="54" spans="1:6">
      <c r="A54" s="1298" t="s">
        <v>45</v>
      </c>
      <c r="B54" s="1298" t="s">
        <v>46</v>
      </c>
      <c r="C54" s="1299">
        <v>0</v>
      </c>
      <c r="D54" s="1299">
        <v>0</v>
      </c>
      <c r="E54" s="1299">
        <v>2</v>
      </c>
      <c r="F54" s="1299">
        <v>552077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1726914</v>
      </c>
      <c r="E57" s="1299">
        <v>70</v>
      </c>
      <c r="F57" s="1299">
        <v>1015403.697</v>
      </c>
    </row>
    <row r="58" spans="1:6">
      <c r="A58" s="1298" t="s">
        <v>48</v>
      </c>
      <c r="B58" s="1298" t="s">
        <v>50</v>
      </c>
      <c r="C58" s="1299">
        <v>15</v>
      </c>
      <c r="D58" s="1299">
        <v>1028781</v>
      </c>
      <c r="E58" s="1299">
        <v>25</v>
      </c>
      <c r="F58" s="1299">
        <v>395240</v>
      </c>
    </row>
    <row r="59" spans="1:6">
      <c r="A59" s="1298" t="s">
        <v>48</v>
      </c>
      <c r="B59" s="1298" t="s">
        <v>51</v>
      </c>
      <c r="C59" s="1299">
        <v>37</v>
      </c>
      <c r="D59" s="1299">
        <v>1220100</v>
      </c>
      <c r="E59" s="1299">
        <v>114</v>
      </c>
      <c r="F59" s="1299">
        <v>5408205</v>
      </c>
    </row>
    <row r="60" spans="1:6">
      <c r="A60" s="1298" t="s">
        <v>48</v>
      </c>
      <c r="B60" s="1298" t="s">
        <v>52</v>
      </c>
      <c r="C60" s="1299">
        <v>24</v>
      </c>
      <c r="D60" s="1299">
        <v>1151766</v>
      </c>
      <c r="E60" s="1299">
        <v>38</v>
      </c>
      <c r="F60" s="1299">
        <v>926444.85699999996</v>
      </c>
    </row>
    <row r="61" spans="1:6">
      <c r="A61" s="1298" t="s">
        <v>48</v>
      </c>
      <c r="B61" s="1298" t="s">
        <v>53</v>
      </c>
      <c r="C61" s="1299">
        <v>67</v>
      </c>
      <c r="D61" s="1299">
        <v>3955123.6</v>
      </c>
      <c r="E61" s="1299">
        <v>118</v>
      </c>
      <c r="F61" s="1299">
        <v>14373196.4</v>
      </c>
    </row>
    <row r="62" spans="1:6">
      <c r="A62" s="1298" t="s">
        <v>48</v>
      </c>
      <c r="B62" s="1298" t="s">
        <v>54</v>
      </c>
      <c r="C62" s="1299">
        <v>7</v>
      </c>
      <c r="D62" s="1299">
        <v>803976</v>
      </c>
      <c r="E62" s="1299">
        <v>8</v>
      </c>
      <c r="F62" s="1299">
        <v>117805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6</v>
      </c>
      <c r="F66" s="1299">
        <v>225827</v>
      </c>
    </row>
    <row r="67" spans="1:6">
      <c r="A67" s="1300" t="s">
        <v>55</v>
      </c>
      <c r="B67" s="1300" t="s">
        <v>58</v>
      </c>
      <c r="C67" s="1299">
        <v>0</v>
      </c>
      <c r="D67" s="1299">
        <v>0</v>
      </c>
      <c r="E67" s="1299">
        <v>0</v>
      </c>
      <c r="F67" s="1299">
        <v>0</v>
      </c>
    </row>
    <row r="68" spans="1:6">
      <c r="A68" s="1293" t="s">
        <v>55</v>
      </c>
      <c r="B68" s="1293" t="s">
        <v>59</v>
      </c>
      <c r="C68" s="1302">
        <v>3</v>
      </c>
      <c r="D68" s="1302">
        <v>161722</v>
      </c>
      <c r="E68" s="1302">
        <v>6</v>
      </c>
      <c r="F68" s="1302">
        <v>740495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52780730</v>
      </c>
      <c r="E73" s="446"/>
      <c r="F73" s="326"/>
    </row>
    <row r="74" spans="1:6">
      <c r="A74" s="1298" t="s">
        <v>63</v>
      </c>
      <c r="B74" s="1298" t="s">
        <v>639</v>
      </c>
      <c r="C74" s="1312" t="s">
        <v>641</v>
      </c>
      <c r="D74" s="1313">
        <v>2189595.5</v>
      </c>
      <c r="E74" s="446"/>
      <c r="F74" s="326"/>
    </row>
    <row r="75" spans="1:6">
      <c r="A75" s="1298" t="s">
        <v>64</v>
      </c>
      <c r="B75" s="1298" t="s">
        <v>638</v>
      </c>
      <c r="C75" s="1312" t="s">
        <v>642</v>
      </c>
      <c r="D75" s="1313">
        <v>24560687</v>
      </c>
      <c r="E75" s="446"/>
      <c r="F75" s="326"/>
    </row>
    <row r="76" spans="1:6">
      <c r="A76" s="1298" t="s">
        <v>64</v>
      </c>
      <c r="B76" s="1298" t="s">
        <v>639</v>
      </c>
      <c r="C76" s="1312" t="s">
        <v>643</v>
      </c>
      <c r="D76" s="1313">
        <v>764366.5</v>
      </c>
      <c r="E76" s="446"/>
      <c r="F76" s="326"/>
    </row>
    <row r="77" spans="1:6">
      <c r="A77" s="1298" t="s">
        <v>65</v>
      </c>
      <c r="B77" s="1298" t="s">
        <v>638</v>
      </c>
      <c r="C77" s="1312" t="s">
        <v>644</v>
      </c>
      <c r="D77" s="1313">
        <v>68041660</v>
      </c>
      <c r="E77" s="446"/>
      <c r="F77" s="326"/>
    </row>
    <row r="78" spans="1:6">
      <c r="A78" s="1293" t="s">
        <v>65</v>
      </c>
      <c r="B78" s="1293" t="s">
        <v>639</v>
      </c>
      <c r="C78" s="1293" t="s">
        <v>645</v>
      </c>
      <c r="D78" s="1314">
        <v>14654814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323487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1719.7821235023039</v>
      </c>
      <c r="C89" s="326"/>
      <c r="D89" s="326"/>
      <c r="E89" s="326"/>
      <c r="F89" s="326"/>
    </row>
    <row r="90" spans="1:6">
      <c r="A90" s="1298" t="s">
        <v>532</v>
      </c>
      <c r="B90" s="1299">
        <v>14327.938697769952</v>
      </c>
      <c r="C90" s="326"/>
      <c r="D90" s="326"/>
      <c r="E90" s="326"/>
      <c r="F90" s="326"/>
    </row>
    <row r="91" spans="1:6">
      <c r="A91" s="1298" t="s">
        <v>67</v>
      </c>
      <c r="B91" s="1299">
        <v>3662.7925067487704</v>
      </c>
      <c r="C91" s="326"/>
      <c r="D91" s="326"/>
      <c r="E91" s="326"/>
      <c r="F91" s="326"/>
    </row>
    <row r="92" spans="1:6">
      <c r="A92" s="1293" t="s">
        <v>68</v>
      </c>
      <c r="B92" s="1294">
        <v>3216.6085145844527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469</v>
      </c>
      <c r="C97" s="326"/>
      <c r="D97" s="326"/>
      <c r="E97" s="326"/>
      <c r="F97" s="326"/>
    </row>
    <row r="98" spans="1:6">
      <c r="A98" s="1298" t="s">
        <v>71</v>
      </c>
      <c r="B98" s="1299">
        <v>0</v>
      </c>
      <c r="C98" s="326"/>
      <c r="D98" s="326"/>
      <c r="E98" s="326"/>
      <c r="F98" s="326"/>
    </row>
    <row r="99" spans="1:6">
      <c r="A99" s="1298" t="s">
        <v>72</v>
      </c>
      <c r="B99" s="1299">
        <v>28</v>
      </c>
      <c r="C99" s="326"/>
      <c r="D99" s="326"/>
      <c r="E99" s="326"/>
      <c r="F99" s="326"/>
    </row>
    <row r="100" spans="1:6">
      <c r="A100" s="1298" t="s">
        <v>73</v>
      </c>
      <c r="B100" s="1299">
        <v>116</v>
      </c>
      <c r="C100" s="326"/>
      <c r="D100" s="326"/>
      <c r="E100" s="326"/>
      <c r="F100" s="326"/>
    </row>
    <row r="101" spans="1:6">
      <c r="A101" s="1298" t="s">
        <v>74</v>
      </c>
      <c r="B101" s="1299">
        <v>37</v>
      </c>
      <c r="C101" s="326"/>
      <c r="D101" s="326"/>
      <c r="E101" s="326"/>
      <c r="F101" s="326"/>
    </row>
    <row r="102" spans="1:6">
      <c r="A102" s="1298" t="s">
        <v>75</v>
      </c>
      <c r="B102" s="1299">
        <v>30</v>
      </c>
      <c r="C102" s="326"/>
      <c r="D102" s="326"/>
      <c r="E102" s="326"/>
      <c r="F102" s="326"/>
    </row>
    <row r="103" spans="1:6">
      <c r="A103" s="1298" t="s">
        <v>76</v>
      </c>
      <c r="B103" s="1299">
        <v>115</v>
      </c>
      <c r="C103" s="326"/>
      <c r="D103" s="326"/>
      <c r="E103" s="326"/>
      <c r="F103" s="326"/>
    </row>
    <row r="104" spans="1:6">
      <c r="A104" s="1298" t="s">
        <v>77</v>
      </c>
      <c r="B104" s="1299">
        <v>2773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29</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164</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89039.698263542145</v>
      </c>
      <c r="C3" s="43" t="s">
        <v>169</v>
      </c>
      <c r="D3" s="43"/>
      <c r="E3" s="154"/>
      <c r="F3" s="43"/>
      <c r="G3" s="43"/>
      <c r="H3" s="43"/>
      <c r="I3" s="43"/>
      <c r="J3" s="43"/>
      <c r="K3" s="96"/>
    </row>
    <row r="4" spans="1:11">
      <c r="A4" s="354" t="s">
        <v>170</v>
      </c>
      <c r="B4" s="49">
        <f>IF(ISERROR('SEAP template'!B78+'SEAP template'!C78),0,'SEAP template'!B78+'SEAP template'!C78)</f>
        <v>67117.121842605484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5.4412688761443971E-2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552.077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552.077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5.4412688761443971E-2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30.039993973351702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13790.714900000001</v>
      </c>
      <c r="C5" s="17">
        <f>IF(ISERROR('Eigen informatie GS &amp; warmtenet'!B59),0,'Eigen informatie GS &amp; warmtenet'!B59)</f>
        <v>0</v>
      </c>
      <c r="D5" s="30">
        <f>(SUM(HH_hh_gas_kWh,HH_rest_gas_kWh)/1000)*0.902</f>
        <v>30302.777990099999</v>
      </c>
      <c r="E5" s="17">
        <f>B32*B41</f>
        <v>1841.9020915380149</v>
      </c>
      <c r="F5" s="17">
        <f>B36*B45</f>
        <v>29693.916614368307</v>
      </c>
      <c r="G5" s="18"/>
      <c r="H5" s="17"/>
      <c r="I5" s="17"/>
      <c r="J5" s="17">
        <f>B35*B44+C35*C44</f>
        <v>118.62588772434142</v>
      </c>
      <c r="K5" s="17"/>
      <c r="L5" s="17"/>
      <c r="M5" s="17"/>
      <c r="N5" s="17">
        <f>B34*B43+C34*C43</f>
        <v>6275.2998833870679</v>
      </c>
      <c r="O5" s="17">
        <f>B52*B53*B54</f>
        <v>386.87185278047122</v>
      </c>
      <c r="P5" s="17">
        <f>B60*B61*B62/1000-B60*B61*B62/1000/B63</f>
        <v>474.02816884582603</v>
      </c>
    </row>
    <row r="6" spans="1:16">
      <c r="A6" s="16" t="s">
        <v>604</v>
      </c>
      <c r="B6" s="778">
        <f>kWh_PV_kleiner_dan_10kW</f>
        <v>3662.7925067487704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17453.507406748773</v>
      </c>
      <c r="C8" s="21">
        <f>C5</f>
        <v>0</v>
      </c>
      <c r="D8" s="21">
        <f>D5</f>
        <v>30302.777990099999</v>
      </c>
      <c r="E8" s="21">
        <f>E5</f>
        <v>1841.9020915380149</v>
      </c>
      <c r="F8" s="21">
        <f>F5</f>
        <v>29693.916614368307</v>
      </c>
      <c r="G8" s="21"/>
      <c r="H8" s="21"/>
      <c r="I8" s="21"/>
      <c r="J8" s="21">
        <f>J5</f>
        <v>118.62588772434142</v>
      </c>
      <c r="K8" s="21"/>
      <c r="L8" s="21">
        <f>L5</f>
        <v>0</v>
      </c>
      <c r="M8" s="21">
        <f>M5</f>
        <v>0</v>
      </c>
      <c r="N8" s="21">
        <f>N5</f>
        <v>6275.2998833870679</v>
      </c>
      <c r="O8" s="21">
        <f>O5</f>
        <v>386.87185278047122</v>
      </c>
      <c r="P8" s="21">
        <f>P5</f>
        <v>474.02816884582603</v>
      </c>
    </row>
    <row r="9" spans="1:16">
      <c r="B9" s="19"/>
      <c r="C9" s="19"/>
      <c r="D9" s="256"/>
      <c r="E9" s="19"/>
      <c r="F9" s="19"/>
      <c r="G9" s="19"/>
      <c r="H9" s="19"/>
      <c r="I9" s="19"/>
      <c r="J9" s="19"/>
      <c r="K9" s="19"/>
      <c r="L9" s="19"/>
      <c r="M9" s="19"/>
      <c r="N9" s="19"/>
      <c r="O9" s="19"/>
      <c r="P9" s="19"/>
    </row>
    <row r="10" spans="1:16">
      <c r="A10" s="24" t="s">
        <v>213</v>
      </c>
      <c r="B10" s="25">
        <f ca="1">'EF ele_warmte'!B12</f>
        <v>5.4412688761443971E-2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949.69226631897811</v>
      </c>
      <c r="C12" s="23">
        <f ca="1">C10*C8</f>
        <v>0</v>
      </c>
      <c r="D12" s="23">
        <f>D8*D10</f>
        <v>6121.1611540002004</v>
      </c>
      <c r="E12" s="23">
        <f>E10*E8</f>
        <v>418.11177477912941</v>
      </c>
      <c r="F12" s="23">
        <f>F10*F8</f>
        <v>7928.2757360363385</v>
      </c>
      <c r="G12" s="23"/>
      <c r="H12" s="23"/>
      <c r="I12" s="23"/>
      <c r="J12" s="23">
        <f>J10*J8</f>
        <v>41.99356425441686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4411</v>
      </c>
      <c r="C26" s="36"/>
      <c r="D26" s="226"/>
    </row>
    <row r="27" spans="1:7" s="15" customFormat="1">
      <c r="A27" s="228" t="s">
        <v>806</v>
      </c>
      <c r="B27" s="37">
        <f>SUM(HH_hh_gas_aantal,HH_rest_gas_aantal)</f>
        <v>2348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2230.6</v>
      </c>
      <c r="C31" s="166" t="s">
        <v>110</v>
      </c>
      <c r="D31" s="231"/>
      <c r="G31" s="15"/>
    </row>
    <row r="32" spans="1:7">
      <c r="A32" s="169" t="s">
        <v>72</v>
      </c>
      <c r="B32" s="166">
        <f>IF((B21*($B$26-($B$27-0.05*$B$27)-$B$60))&lt;0,0,B21*($B$26-($B$27-0.05*$B$27)-$B$60))</f>
        <v>33.899899291028156</v>
      </c>
      <c r="C32" s="166" t="s">
        <v>110</v>
      </c>
      <c r="D32" s="231"/>
      <c r="G32" s="15"/>
    </row>
    <row r="33" spans="1:7">
      <c r="A33" s="169" t="s">
        <v>73</v>
      </c>
      <c r="B33" s="166">
        <f>IF((B22*($B$26-($B$27-0.05*$B$27)-$B$60))&lt;0,0,B22*($B$26-($B$27-0.05*$B$27)-$B$60))</f>
        <v>550.46722499883583</v>
      </c>
      <c r="C33" s="166" t="s">
        <v>110</v>
      </c>
      <c r="D33" s="231"/>
      <c r="G33" s="15"/>
    </row>
    <row r="34" spans="1:7">
      <c r="A34" s="169" t="s">
        <v>74</v>
      </c>
      <c r="B34" s="166">
        <f>IF((B24*($B$26-($B$27-0.05*$B$27)-$B$60))&lt;0,0,B24*($B$26-($B$27-0.05*$B$27)-$B$60))</f>
        <v>105.53193364015135</v>
      </c>
      <c r="C34" s="166">
        <f>B26*C24</f>
        <v>903.8401004866663</v>
      </c>
      <c r="D34" s="231"/>
      <c r="G34" s="15"/>
    </row>
    <row r="35" spans="1:7">
      <c r="A35" s="169" t="s">
        <v>76</v>
      </c>
      <c r="B35" s="166">
        <f>IF((B19*($B$26-($B$27-0.05*$B$27)-$B$60))&lt;0,0,B19*($B$26-($B$27-0.05*$B$27)-$B$60))</f>
        <v>14.736205402237886</v>
      </c>
      <c r="C35" s="166">
        <f>B35/2</f>
        <v>7.3681027011189428</v>
      </c>
      <c r="D35" s="232"/>
      <c r="G35" s="15"/>
    </row>
    <row r="36" spans="1:7">
      <c r="A36" s="169" t="s">
        <v>77</v>
      </c>
      <c r="B36" s="166">
        <f>IF((B18*($B$26-($B$27-0.05*$B$27)-$B$60))&lt;0,0,B18*($B$26-($B$27-0.05*$B$27)-$B$60))</f>
        <v>1430.7647366677465</v>
      </c>
      <c r="C36" s="166" t="s">
        <v>110</v>
      </c>
      <c r="D36" s="232"/>
      <c r="G36" s="15"/>
    </row>
    <row r="37" spans="1:7">
      <c r="A37" s="169" t="s">
        <v>78</v>
      </c>
      <c r="B37" s="166">
        <f>B60</f>
        <v>45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22236.294954000005</v>
      </c>
      <c r="C5" s="17">
        <f>IF(ISERROR('Eigen informatie GS &amp; warmtenet'!B60),0,'Eigen informatie GS &amp; warmtenet'!B60)</f>
        <v>0</v>
      </c>
      <c r="D5" s="30">
        <f>SUM(D6:D12)</f>
        <v>8917.7678612000018</v>
      </c>
      <c r="E5" s="17">
        <f>SUM(E6:E12)</f>
        <v>276.05480663370145</v>
      </c>
      <c r="F5" s="17">
        <f>SUM(F6:F12)</f>
        <v>2589.1139531186741</v>
      </c>
      <c r="G5" s="18"/>
      <c r="H5" s="17"/>
      <c r="I5" s="17"/>
      <c r="J5" s="17">
        <f>SUM(J6:J12)</f>
        <v>1.7237548626495697E-2</v>
      </c>
      <c r="K5" s="17"/>
      <c r="L5" s="17"/>
      <c r="M5" s="17"/>
      <c r="N5" s="17">
        <f>SUM(N6:N12)</f>
        <v>685.103452105923</v>
      </c>
      <c r="O5" s="17">
        <f>B38*B39*B40</f>
        <v>4.8972607658411542</v>
      </c>
      <c r="P5" s="17">
        <f>B46*B47*B48/1000-B46*B47*B48/1000/B49</f>
        <v>0</v>
      </c>
      <c r="R5" s="32"/>
    </row>
    <row r="6" spans="1:18">
      <c r="A6" s="32" t="s">
        <v>53</v>
      </c>
      <c r="B6" s="37">
        <f>B26</f>
        <v>14373.196400000001</v>
      </c>
      <c r="C6" s="33"/>
      <c r="D6" s="37">
        <f>IF(ISERROR(TER_kantoor_gas_kWh/1000),0,TER_kantoor_gas_kWh/1000)*0.902</f>
        <v>3567.5214872000001</v>
      </c>
      <c r="E6" s="33">
        <f>$C$26*'E Balans VL '!I12/100/3.6*1000000</f>
        <v>115.65650302097262</v>
      </c>
      <c r="F6" s="33">
        <f>$C$26*('E Balans VL '!L12+'E Balans VL '!N12)/100/3.6*1000000</f>
        <v>1757.2744610853226</v>
      </c>
      <c r="G6" s="34"/>
      <c r="H6" s="33"/>
      <c r="I6" s="33"/>
      <c r="J6" s="33">
        <f>$C$26*('E Balans VL '!D12+'E Balans VL '!E12)/100/3.6*1000000</f>
        <v>0</v>
      </c>
      <c r="K6" s="33"/>
      <c r="L6" s="33"/>
      <c r="M6" s="33"/>
      <c r="N6" s="33">
        <f>$C$26*'E Balans VL '!Y12/100/3.6*1000000</f>
        <v>7.7248852616860368</v>
      </c>
      <c r="O6" s="33"/>
      <c r="P6" s="33"/>
      <c r="R6" s="32"/>
    </row>
    <row r="7" spans="1:18">
      <c r="A7" s="32" t="s">
        <v>52</v>
      </c>
      <c r="B7" s="37">
        <f t="shared" ref="B7:B12" si="0">B27</f>
        <v>926.44485699999996</v>
      </c>
      <c r="C7" s="33"/>
      <c r="D7" s="37">
        <f>IF(ISERROR(TER_horeca_gas_kWh/1000),0,TER_horeca_gas_kWh/1000)*0.902</f>
        <v>1038.8929320000002</v>
      </c>
      <c r="E7" s="33">
        <f>$C$27*'E Balans VL '!I9/100/3.6*1000000</f>
        <v>9.947742813336923</v>
      </c>
      <c r="F7" s="33">
        <f>$C$27*('E Balans VL '!L9+'E Balans VL '!N9)/100/3.6*1000000</f>
        <v>111.42885122045408</v>
      </c>
      <c r="G7" s="34"/>
      <c r="H7" s="33"/>
      <c r="I7" s="33"/>
      <c r="J7" s="33">
        <f>$C$27*('E Balans VL '!D9+'E Balans VL '!E9)/100/3.6*1000000</f>
        <v>0</v>
      </c>
      <c r="K7" s="33"/>
      <c r="L7" s="33"/>
      <c r="M7" s="33"/>
      <c r="N7" s="33">
        <f>$C$27*'E Balans VL '!Y9/100/3.6*1000000</f>
        <v>0.13889286092158576</v>
      </c>
      <c r="O7" s="33"/>
      <c r="P7" s="33"/>
      <c r="R7" s="32"/>
    </row>
    <row r="8" spans="1:18">
      <c r="A8" s="6" t="s">
        <v>51</v>
      </c>
      <c r="B8" s="37">
        <f t="shared" si="0"/>
        <v>5408.2049999999999</v>
      </c>
      <c r="C8" s="33"/>
      <c r="D8" s="37">
        <f>IF(ISERROR(TER_handel_gas_kWh/1000),0,TER_handel_gas_kWh/1000)*0.902</f>
        <v>1100.5301999999999</v>
      </c>
      <c r="E8" s="33">
        <f>$C$28*'E Balans VL '!I13/100/3.6*1000000</f>
        <v>145.13966514100912</v>
      </c>
      <c r="F8" s="33">
        <f>$C$28*('E Balans VL '!L13+'E Balans VL '!N13)/100/3.6*1000000</f>
        <v>516.10944217603617</v>
      </c>
      <c r="G8" s="34"/>
      <c r="H8" s="33"/>
      <c r="I8" s="33"/>
      <c r="J8" s="33">
        <f>$C$28*('E Balans VL '!D13+'E Balans VL '!E13)/100/3.6*1000000</f>
        <v>0</v>
      </c>
      <c r="K8" s="33"/>
      <c r="L8" s="33"/>
      <c r="M8" s="33"/>
      <c r="N8" s="33">
        <f>$C$28*'E Balans VL '!Y13/100/3.6*1000000</f>
        <v>2.1438739553756085</v>
      </c>
      <c r="O8" s="33"/>
      <c r="P8" s="33"/>
      <c r="R8" s="32"/>
    </row>
    <row r="9" spans="1:18">
      <c r="A9" s="32" t="s">
        <v>50</v>
      </c>
      <c r="B9" s="37">
        <f t="shared" si="0"/>
        <v>395.24</v>
      </c>
      <c r="C9" s="33"/>
      <c r="D9" s="37">
        <f>IF(ISERROR(TER_gezond_gas_kWh/1000),0,TER_gezond_gas_kWh/1000)*0.902</f>
        <v>927.96046200000001</v>
      </c>
      <c r="E9" s="33">
        <f>$C$29*'E Balans VL '!I10/100/3.6*1000000</f>
        <v>0.74080845573245735</v>
      </c>
      <c r="F9" s="33">
        <f>$C$29*('E Balans VL '!L10+'E Balans VL '!N10)/100/3.6*1000000</f>
        <v>32.492334287123626</v>
      </c>
      <c r="G9" s="34"/>
      <c r="H9" s="33"/>
      <c r="I9" s="33"/>
      <c r="J9" s="33">
        <f>$C$29*('E Balans VL '!D10+'E Balans VL '!E10)/100/3.6*1000000</f>
        <v>0</v>
      </c>
      <c r="K9" s="33"/>
      <c r="L9" s="33"/>
      <c r="M9" s="33"/>
      <c r="N9" s="33">
        <f>$C$29*'E Balans VL '!Y10/100/3.6*1000000</f>
        <v>3.0752620914120485</v>
      </c>
      <c r="O9" s="33"/>
      <c r="P9" s="33"/>
      <c r="R9" s="32"/>
    </row>
    <row r="10" spans="1:18">
      <c r="A10" s="32" t="s">
        <v>49</v>
      </c>
      <c r="B10" s="37">
        <f t="shared" si="0"/>
        <v>1015.4036970000001</v>
      </c>
      <c r="C10" s="33"/>
      <c r="D10" s="37">
        <f>IF(ISERROR(TER_ander_gas_kWh/1000),0,TER_ander_gas_kWh/1000)*0.902</f>
        <v>1557.676428</v>
      </c>
      <c r="E10" s="33">
        <f>$C$30*'E Balans VL '!I14/100/3.6*1000000</f>
        <v>1.5652550878521847</v>
      </c>
      <c r="F10" s="33">
        <f>$C$30*('E Balans VL '!L14+'E Balans VL '!N14)/100/3.6*1000000</f>
        <v>157.64170427685212</v>
      </c>
      <c r="G10" s="34"/>
      <c r="H10" s="33"/>
      <c r="I10" s="33"/>
      <c r="J10" s="33">
        <f>$C$30*('E Balans VL '!D14+'E Balans VL '!E14)/100/3.6*1000000</f>
        <v>1.7237548626495697E-2</v>
      </c>
      <c r="K10" s="33"/>
      <c r="L10" s="33"/>
      <c r="M10" s="33"/>
      <c r="N10" s="33">
        <f>$C$30*'E Balans VL '!Y14/100/3.6*1000000</f>
        <v>671.7585424909945</v>
      </c>
      <c r="O10" s="33"/>
      <c r="P10" s="33"/>
      <c r="R10" s="32"/>
    </row>
    <row r="11" spans="1:18">
      <c r="A11" s="32" t="s">
        <v>54</v>
      </c>
      <c r="B11" s="37">
        <f t="shared" si="0"/>
        <v>117.80500000000001</v>
      </c>
      <c r="C11" s="33"/>
      <c r="D11" s="37">
        <f>IF(ISERROR(TER_onderwijs_gas_kWh/1000),0,TER_onderwijs_gas_kWh/1000)*0.902</f>
        <v>725.18635200000006</v>
      </c>
      <c r="E11" s="33">
        <f>$C$31*'E Balans VL '!I11/100/3.6*1000000</f>
        <v>3.0048321147981309</v>
      </c>
      <c r="F11" s="33">
        <f>$C$31*('E Balans VL '!L11+'E Balans VL '!N11)/100/3.6*1000000</f>
        <v>14.167160072885455</v>
      </c>
      <c r="G11" s="34"/>
      <c r="H11" s="33"/>
      <c r="I11" s="33"/>
      <c r="J11" s="33">
        <f>$C$31*('E Balans VL '!D11+'E Balans VL '!E11)/100/3.6*1000000</f>
        <v>0</v>
      </c>
      <c r="K11" s="33"/>
      <c r="L11" s="33"/>
      <c r="M11" s="33"/>
      <c r="N11" s="33">
        <f>$C$31*'E Balans VL '!Y11/100/3.6*1000000</f>
        <v>0.26199544553323167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22236.294954000005</v>
      </c>
      <c r="C16" s="21">
        <f t="shared" ca="1" si="1"/>
        <v>0</v>
      </c>
      <c r="D16" s="21">
        <f t="shared" ca="1" si="1"/>
        <v>8917.7678612000018</v>
      </c>
      <c r="E16" s="21">
        <f t="shared" si="1"/>
        <v>276.05480663370145</v>
      </c>
      <c r="F16" s="21">
        <f t="shared" ca="1" si="1"/>
        <v>2589.1139531186741</v>
      </c>
      <c r="G16" s="21">
        <f t="shared" si="1"/>
        <v>0</v>
      </c>
      <c r="H16" s="21">
        <f t="shared" si="1"/>
        <v>0</v>
      </c>
      <c r="I16" s="21">
        <f t="shared" si="1"/>
        <v>0</v>
      </c>
      <c r="J16" s="21">
        <f t="shared" si="1"/>
        <v>1.7237548626495697E-2</v>
      </c>
      <c r="K16" s="21">
        <f t="shared" si="1"/>
        <v>0</v>
      </c>
      <c r="L16" s="21">
        <f t="shared" ca="1" si="1"/>
        <v>0</v>
      </c>
      <c r="M16" s="21">
        <f t="shared" si="1"/>
        <v>0</v>
      </c>
      <c r="N16" s="21">
        <f t="shared" ca="1" si="1"/>
        <v>685.103452105923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5.4412688761443971E-2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1209.9365965396694</v>
      </c>
      <c r="C20" s="23">
        <f t="shared" ref="C20:P20" ca="1" si="2">C16*C18</f>
        <v>0</v>
      </c>
      <c r="D20" s="23">
        <f t="shared" ca="1" si="2"/>
        <v>1801.3891079624004</v>
      </c>
      <c r="E20" s="23">
        <f t="shared" si="2"/>
        <v>62.66444110585023</v>
      </c>
      <c r="F20" s="23">
        <f t="shared" ca="1" si="2"/>
        <v>691.29342548268608</v>
      </c>
      <c r="G20" s="23">
        <f t="shared" si="2"/>
        <v>0</v>
      </c>
      <c r="H20" s="23">
        <f t="shared" si="2"/>
        <v>0</v>
      </c>
      <c r="I20" s="23">
        <f t="shared" si="2"/>
        <v>0</v>
      </c>
      <c r="J20" s="23">
        <f t="shared" si="2"/>
        <v>6.1020922137794767E-3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14373.196400000001</v>
      </c>
      <c r="C26" s="39">
        <f>IF(ISERROR(B26*3.6/1000000/'E Balans VL '!Z12*100),0,B26*3.6/1000000/'E Balans VL '!Z12*100)</f>
        <v>0.30491421166135269</v>
      </c>
      <c r="D26" s="235" t="s">
        <v>698</v>
      </c>
      <c r="F26" s="6"/>
    </row>
    <row r="27" spans="1:18">
      <c r="A27" s="229" t="s">
        <v>52</v>
      </c>
      <c r="B27" s="33">
        <f>IF(ISERROR(TER_horeca_ele_kWh/1000),0,TER_horeca_ele_kWh/1000)</f>
        <v>926.44485699999996</v>
      </c>
      <c r="C27" s="39">
        <f>IF(ISERROR(B27*3.6/1000000/'E Balans VL '!Z9*100),0,B27*3.6/1000000/'E Balans VL '!Z9*100)</f>
        <v>6.9769504649940972E-2</v>
      </c>
      <c r="D27" s="235" t="s">
        <v>698</v>
      </c>
      <c r="F27" s="6"/>
    </row>
    <row r="28" spans="1:18">
      <c r="A28" s="169" t="s">
        <v>51</v>
      </c>
      <c r="B28" s="33">
        <f>IF(ISERROR(TER_handel_ele_kWh/1000),0,TER_handel_ele_kWh/1000)</f>
        <v>5408.2049999999999</v>
      </c>
      <c r="C28" s="39">
        <f>IF(ISERROR(B28*3.6/1000000/'E Balans VL '!Z13*100),0,B28*3.6/1000000/'E Balans VL '!Z13*100)</f>
        <v>0.15698102838457151</v>
      </c>
      <c r="D28" s="235" t="s">
        <v>698</v>
      </c>
      <c r="F28" s="6"/>
    </row>
    <row r="29" spans="1:18">
      <c r="A29" s="229" t="s">
        <v>50</v>
      </c>
      <c r="B29" s="33">
        <f>IF(ISERROR(TER_gezond_ele_kWh/1000),0,TER_gezond_ele_kWh/1000)</f>
        <v>395.24</v>
      </c>
      <c r="C29" s="39">
        <f>IF(ISERROR(B29*3.6/1000000/'E Balans VL '!Z10*100),0,B29*3.6/1000000/'E Balans VL '!Z10*100)</f>
        <v>3.9860425342897375E-2</v>
      </c>
      <c r="D29" s="235" t="s">
        <v>698</v>
      </c>
      <c r="F29" s="6"/>
    </row>
    <row r="30" spans="1:18">
      <c r="A30" s="229" t="s">
        <v>49</v>
      </c>
      <c r="B30" s="33">
        <f>IF(ISERROR(TER_ander_ele_kWh/1000),0,TER_ander_ele_kWh/1000)</f>
        <v>1015.4036970000001</v>
      </c>
      <c r="C30" s="39">
        <f>IF(ISERROR(B30*3.6/1000000/'E Balans VL '!Z14*100),0,B30*3.6/1000000/'E Balans VL '!Z14*100)</f>
        <v>7.3681390863730226E-2</v>
      </c>
      <c r="D30" s="235" t="s">
        <v>698</v>
      </c>
      <c r="F30" s="6"/>
    </row>
    <row r="31" spans="1:18">
      <c r="A31" s="229" t="s">
        <v>54</v>
      </c>
      <c r="B31" s="33">
        <f>IF(ISERROR(TER_onderwijs_ele_kWh/1000),0,TER_onderwijs_ele_kWh/1000)</f>
        <v>117.80500000000001</v>
      </c>
      <c r="C31" s="39">
        <f>IF(ISERROR(B31*3.6/1000000/'E Balans VL '!Z11*100),0,B31*3.6/1000000/'E Balans VL '!Z11*100)</f>
        <v>3.3579222242977033E-2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3896.9569500000002</v>
      </c>
      <c r="C5" s="17">
        <f>IF(ISERROR('Eigen informatie GS &amp; warmtenet'!B61),0,'Eigen informatie GS &amp; warmtenet'!B61)</f>
        <v>0</v>
      </c>
      <c r="D5" s="30">
        <f>SUM(D6:D15)</f>
        <v>11593.285132000001</v>
      </c>
      <c r="E5" s="17">
        <f>SUM(E6:E15)</f>
        <v>415.29753778623274</v>
      </c>
      <c r="F5" s="17">
        <f>SUM(F6:F15)</f>
        <v>1859.4552989540289</v>
      </c>
      <c r="G5" s="18"/>
      <c r="H5" s="17"/>
      <c r="I5" s="17"/>
      <c r="J5" s="17">
        <f>SUM(J6:J15)</f>
        <v>2.3051243995472541</v>
      </c>
      <c r="K5" s="17"/>
      <c r="L5" s="17"/>
      <c r="M5" s="17"/>
      <c r="N5" s="17">
        <f>SUM(N6:N15)</f>
        <v>657.53595225596064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274.601</v>
      </c>
      <c r="C8" s="33"/>
      <c r="D8" s="37">
        <f>IF( ISERROR(IND_metaal_Gas_kWH/1000),0,IND_metaal_Gas_kWH/1000)*0.902</f>
        <v>61.368472000000004</v>
      </c>
      <c r="E8" s="33">
        <f>C30*'E Balans VL '!I18/100/3.6*1000000</f>
        <v>1.9810534820054584</v>
      </c>
      <c r="F8" s="33">
        <f>C30*'E Balans VL '!L18/100/3.6*1000000+C30*'E Balans VL '!N18/100/3.6*1000000</f>
        <v>25.972191312244384</v>
      </c>
      <c r="G8" s="34"/>
      <c r="H8" s="33"/>
      <c r="I8" s="33"/>
      <c r="J8" s="40">
        <f>C30*'E Balans VL '!D18/100/3.6*1000000+C30*'E Balans VL '!E18/100/3.6*1000000</f>
        <v>0.27619528156081408</v>
      </c>
      <c r="K8" s="33"/>
      <c r="L8" s="33"/>
      <c r="M8" s="33"/>
      <c r="N8" s="33">
        <f>C30*'E Balans VL '!Y18/100/3.6*1000000</f>
        <v>3.4716831625190094</v>
      </c>
      <c r="O8" s="33"/>
      <c r="P8" s="33"/>
      <c r="R8" s="32"/>
    </row>
    <row r="9" spans="1:18">
      <c r="A9" s="6" t="s">
        <v>32</v>
      </c>
      <c r="B9" s="37">
        <f t="shared" si="0"/>
        <v>1128.2909500000001</v>
      </c>
      <c r="C9" s="33"/>
      <c r="D9" s="37">
        <f>IF( ISERROR(IND_andere_gas_kWh/1000),0,IND_andere_gas_kWh/1000)*0.902</f>
        <v>1008.495532</v>
      </c>
      <c r="E9" s="33">
        <f>C31*'E Balans VL '!I19/100/3.6*1000000</f>
        <v>312.66450938515209</v>
      </c>
      <c r="F9" s="33">
        <f>C31*'E Balans VL '!L19/100/3.6*1000000+C31*'E Balans VL '!N19/100/3.6*1000000</f>
        <v>935.12997761553459</v>
      </c>
      <c r="G9" s="34"/>
      <c r="H9" s="33"/>
      <c r="I9" s="33"/>
      <c r="J9" s="40">
        <f>C31*'E Balans VL '!D19/100/3.6*1000000+C31*'E Balans VL '!E19/100/3.6*1000000</f>
        <v>0</v>
      </c>
      <c r="K9" s="33"/>
      <c r="L9" s="33"/>
      <c r="M9" s="33"/>
      <c r="N9" s="33">
        <f>C31*'E Balans VL '!Y19/100/3.6*1000000</f>
        <v>81.900122477664169</v>
      </c>
      <c r="O9" s="33"/>
      <c r="P9" s="33"/>
      <c r="R9" s="32"/>
    </row>
    <row r="10" spans="1:18">
      <c r="A10" s="6" t="s">
        <v>40</v>
      </c>
      <c r="B10" s="37">
        <f t="shared" si="0"/>
        <v>206.88200000000001</v>
      </c>
      <c r="C10" s="33"/>
      <c r="D10" s="37">
        <f>IF( ISERROR(IND_voed_gas_kWh/1000),0,IND_voed_gas_kWh/1000)*0.902</f>
        <v>0</v>
      </c>
      <c r="E10" s="33">
        <f>C32*'E Balans VL '!I20/100/3.6*1000000</f>
        <v>0.3662512154261362</v>
      </c>
      <c r="F10" s="33">
        <f>C32*'E Balans VL '!L20/100/3.6*1000000+C32*'E Balans VL '!N20/100/3.6*1000000</f>
        <v>11.173461578718531</v>
      </c>
      <c r="G10" s="34"/>
      <c r="H10" s="33"/>
      <c r="I10" s="33"/>
      <c r="J10" s="40">
        <f>C32*'E Balans VL '!D20/100/3.6*1000000+C32*'E Balans VL '!E20/100/3.6*1000000</f>
        <v>0</v>
      </c>
      <c r="K10" s="33"/>
      <c r="L10" s="33"/>
      <c r="M10" s="33"/>
      <c r="N10" s="33">
        <f>C32*'E Balans VL '!Y20/100/3.6*1000000</f>
        <v>12.021424177521924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2262.212</v>
      </c>
      <c r="C12" s="33"/>
      <c r="D12" s="37">
        <f>IF( ISERROR(IND_min_gas_kWh/1000),0,IND_min_gas_kWh/1000)*0.902</f>
        <v>0</v>
      </c>
      <c r="E12" s="33">
        <f>C34*'E Balans VL '!I22/100/3.6*1000000</f>
        <v>99.619747092913741</v>
      </c>
      <c r="F12" s="33">
        <f>C34*'E Balans VL '!L22/100/3.6*1000000+C34*'E Balans VL '!N22/100/3.6*1000000</f>
        <v>884.61625269751198</v>
      </c>
      <c r="G12" s="34"/>
      <c r="H12" s="33"/>
      <c r="I12" s="33"/>
      <c r="J12" s="40">
        <f>C34*'E Balans VL '!D22/100/3.6*1000000+C34*'E Balans VL '!E22/100/3.6*1000000</f>
        <v>0.68688795307736639</v>
      </c>
      <c r="K12" s="33"/>
      <c r="L12" s="33"/>
      <c r="M12" s="33"/>
      <c r="N12" s="33">
        <f>C34*'E Balans VL '!Y22/100/3.6*1000000</f>
        <v>559.60269228438256</v>
      </c>
      <c r="O12" s="33"/>
      <c r="P12" s="33"/>
      <c r="R12" s="32"/>
    </row>
    <row r="13" spans="1:18">
      <c r="A13" s="6" t="s">
        <v>38</v>
      </c>
      <c r="B13" s="37">
        <f t="shared" si="0"/>
        <v>11.228999999999999</v>
      </c>
      <c r="C13" s="33"/>
      <c r="D13" s="37">
        <f>IF( ISERROR(IND_papier_gas_kWh/1000),0,IND_papier_gas_kWh/1000)*0.902</f>
        <v>0</v>
      </c>
      <c r="E13" s="33">
        <f>C35*'E Balans VL '!I23/100/3.6*1000000</f>
        <v>1.6521714815997249E-2</v>
      </c>
      <c r="F13" s="33">
        <f>C35*'E Balans VL '!L23/100/3.6*1000000+C35*'E Balans VL '!N23/100/3.6*1000000</f>
        <v>0.12023234499789018</v>
      </c>
      <c r="G13" s="34"/>
      <c r="H13" s="33"/>
      <c r="I13" s="33"/>
      <c r="J13" s="40">
        <f>C35*'E Balans VL '!D23/100/3.6*1000000+C35*'E Balans VL '!E23/100/3.6*1000000</f>
        <v>1.2285155689368885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13.742000000000001</v>
      </c>
      <c r="C15" s="33"/>
      <c r="D15" s="37">
        <f>IF( ISERROR(IND_rest_gas_kWh/1000),0,IND_rest_gas_kWh/1000)*0.902</f>
        <v>10523.421128</v>
      </c>
      <c r="E15" s="33">
        <f>C37*'E Balans VL '!I15/100/3.6*1000000</f>
        <v>0.64945489591932659</v>
      </c>
      <c r="F15" s="33">
        <f>C37*'E Balans VL '!L15/100/3.6*1000000+C37*'E Balans VL '!N15/100/3.6*1000000</f>
        <v>2.4431834050215744</v>
      </c>
      <c r="G15" s="34"/>
      <c r="H15" s="33"/>
      <c r="I15" s="33"/>
      <c r="J15" s="40">
        <f>C37*'E Balans VL '!D15/100/3.6*1000000+C37*'E Balans VL '!E15/100/3.6*1000000</f>
        <v>0.11352559597218503</v>
      </c>
      <c r="K15" s="33"/>
      <c r="L15" s="33"/>
      <c r="M15" s="33"/>
      <c r="N15" s="33">
        <f>C37*'E Balans VL '!Y15/100/3.6*1000000</f>
        <v>0.54003015387303033</v>
      </c>
      <c r="O15" s="33"/>
      <c r="P15" s="33"/>
      <c r="R15" s="32"/>
    </row>
    <row r="16" spans="1:18">
      <c r="A16" s="16" t="s">
        <v>471</v>
      </c>
      <c r="B16" s="245">
        <f>'lokale energieproductie'!N37+'lokale energieproductie'!N30</f>
        <v>44190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-110475</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48086.95695</v>
      </c>
      <c r="C18" s="21">
        <f>C5+C16</f>
        <v>0</v>
      </c>
      <c r="D18" s="21">
        <f>MAX((D5+D16),0)</f>
        <v>11593.285132000001</v>
      </c>
      <c r="E18" s="21">
        <f>MAX((E5+E16),0)</f>
        <v>415.29753778623274</v>
      </c>
      <c r="F18" s="21">
        <f>MAX((F5+F16),0)</f>
        <v>1859.4552989540289</v>
      </c>
      <c r="G18" s="21"/>
      <c r="H18" s="21"/>
      <c r="I18" s="21"/>
      <c r="J18" s="21">
        <f>MAX((J5+J16),0)</f>
        <v>2.3051243995472541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5.4412688761443971E-2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2616.5406220053051</v>
      </c>
      <c r="C22" s="23">
        <f ca="1">C18*C20</f>
        <v>0</v>
      </c>
      <c r="D22" s="23">
        <f>D18*D20</f>
        <v>2341.8435966640004</v>
      </c>
      <c r="E22" s="23">
        <f>E18*E20</f>
        <v>94.272541077474841</v>
      </c>
      <c r="F22" s="23">
        <f>F18*F20</f>
        <v>496.47456482072573</v>
      </c>
      <c r="G22" s="23"/>
      <c r="H22" s="23"/>
      <c r="I22" s="23"/>
      <c r="J22" s="23">
        <f>J18*J20</f>
        <v>0.81601403743972789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274.601</v>
      </c>
      <c r="C30" s="39">
        <f>IF(ISERROR(B30*3.6/1000000/'E Balans VL '!Z18*100),0,B30*3.6/1000000/'E Balans VL '!Z18*100)</f>
        <v>1.5852287256970073E-2</v>
      </c>
      <c r="D30" s="235" t="s">
        <v>698</v>
      </c>
    </row>
    <row r="31" spans="1:18">
      <c r="A31" s="6" t="s">
        <v>32</v>
      </c>
      <c r="B31" s="37">
        <f>IF( ISERROR(IND_ander_ele_kWh/1000),0,IND_ander_ele_kWh/1000)</f>
        <v>1128.2909500000001</v>
      </c>
      <c r="C31" s="39">
        <f>IF(ISERROR(B31*3.6/1000000/'E Balans VL '!Z19*100),0,B31*3.6/1000000/'E Balans VL '!Z19*100)</f>
        <v>5.6749377571496458E-2</v>
      </c>
      <c r="D31" s="235" t="s">
        <v>698</v>
      </c>
    </row>
    <row r="32" spans="1:18">
      <c r="A32" s="169" t="s">
        <v>40</v>
      </c>
      <c r="B32" s="37">
        <f>IF( ISERROR(IND_voed_ele_kWh/1000),0,IND_voed_ele_kWh/1000)</f>
        <v>206.88200000000001</v>
      </c>
      <c r="C32" s="39">
        <f>IF(ISERROR(B32*3.6/1000000/'E Balans VL '!Z20*100),0,B32*3.6/1000000/'E Balans VL '!Z20*100)</f>
        <v>6.8903991166403972E-3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2262.212</v>
      </c>
      <c r="C34" s="39">
        <f>IF(ISERROR(B34*3.6/1000000/'E Balans VL '!Z22*100),0,B34*3.6/1000000/'E Balans VL '!Z22*100)</f>
        <v>0.42197894728300145</v>
      </c>
      <c r="D34" s="235" t="s">
        <v>698</v>
      </c>
    </row>
    <row r="35" spans="1:5">
      <c r="A35" s="169" t="s">
        <v>38</v>
      </c>
      <c r="B35" s="37">
        <f>IF( ISERROR(IND_papier_ele_kWh/1000),0,IND_papier_ele_kWh/1000)</f>
        <v>11.228999999999999</v>
      </c>
      <c r="C35" s="39">
        <f>IF(ISERROR(B35*3.6/1000000/'E Balans VL '!Z22*100),0,B35*3.6/1000000/'E Balans VL '!Z22*100)</f>
        <v>2.0945877747270475E-3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13.742000000000001</v>
      </c>
      <c r="C37" s="39">
        <f>IF(ISERROR(B37*3.6/1000000/'E Balans VL '!Z15*100),0,B37*3.6/1000000/'E Balans VL '!Z15*100)</f>
        <v>1.0722517930185573E-4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193.762</v>
      </c>
      <c r="C5" s="17">
        <f>'Eigen informatie GS &amp; warmtenet'!B62</f>
        <v>0</v>
      </c>
      <c r="D5" s="30">
        <f>IF(ISERROR(SUM(LB_lb_gas_kWh,LB_rest_gas_kWh)/1000),0,SUM(LB_lb_gas_kWh,LB_rest_gas_kWh)/1000)*0.902</f>
        <v>15.231171999999999</v>
      </c>
      <c r="E5" s="17">
        <f>B17*'E Balans VL '!I25/3.6*1000000/100</f>
        <v>6.0472481251749706</v>
      </c>
      <c r="F5" s="17">
        <f>B17*('E Balans VL '!L25/3.6*1000000+'E Balans VL '!N25/3.6*1000000)/100</f>
        <v>684.77637237533713</v>
      </c>
      <c r="G5" s="18"/>
      <c r="H5" s="17"/>
      <c r="I5" s="17"/>
      <c r="J5" s="17">
        <f>('E Balans VL '!D25+'E Balans VL '!E25)/3.6*1000000*landbouw!B17/100</f>
        <v>53.382774727693658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193.762</v>
      </c>
      <c r="C8" s="21">
        <f>C5+C6</f>
        <v>0</v>
      </c>
      <c r="D8" s="21">
        <f>MAX((D5+D6),0)</f>
        <v>15.231171999999999</v>
      </c>
      <c r="E8" s="21">
        <f>MAX((E5+E6),0)</f>
        <v>6.0472481251749706</v>
      </c>
      <c r="F8" s="21">
        <f>MAX((F5+F6),0)</f>
        <v>684.77637237533713</v>
      </c>
      <c r="G8" s="21"/>
      <c r="H8" s="21"/>
      <c r="I8" s="21"/>
      <c r="J8" s="21">
        <f>MAX((J5+J6),0)</f>
        <v>53.382774727693658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5.4412688761443971E-2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10.543111399794906</v>
      </c>
      <c r="C12" s="23">
        <f ca="1">C8*C10</f>
        <v>0</v>
      </c>
      <c r="D12" s="23">
        <f>D8*D10</f>
        <v>3.0766967439999999</v>
      </c>
      <c r="E12" s="23">
        <f>E8*E10</f>
        <v>1.3727253244147184</v>
      </c>
      <c r="F12" s="23">
        <f>F8*F10</f>
        <v>182.83529142421503</v>
      </c>
      <c r="G12" s="23"/>
      <c r="H12" s="23"/>
      <c r="I12" s="23"/>
      <c r="J12" s="23">
        <f>J8*J10</f>
        <v>18.897502253603555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2.880411031758677E-2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65.02540442471782</v>
      </c>
      <c r="C26" s="245">
        <f>B26*'GWP N2O_CH4'!B5</f>
        <v>1365.5334929190742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11.127140977561881</v>
      </c>
      <c r="C27" s="245">
        <f>B27*'GWP N2O_CH4'!B5</f>
        <v>233.66996052879949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0.93730008399147069</v>
      </c>
      <c r="C28" s="245">
        <f>B28*'GWP N2O_CH4'!B4</f>
        <v>290.56302603735594</v>
      </c>
      <c r="D28" s="50"/>
    </row>
    <row r="29" spans="1:4">
      <c r="A29" s="41" t="s">
        <v>271</v>
      </c>
      <c r="B29" s="245">
        <f>B34*'ha_N2O bodem landbouw'!B4</f>
        <v>6.0718114290330174</v>
      </c>
      <c r="C29" s="245">
        <f>B29*'GWP N2O_CH4'!B4</f>
        <v>1882.2615430002354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1.3314389258802125E-3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5.5540781919773358E-4</v>
      </c>
      <c r="C5" s="433" t="s">
        <v>210</v>
      </c>
      <c r="D5" s="418">
        <f>SUM(D6:D11)</f>
        <v>8.9196866010333173E-4</v>
      </c>
      <c r="E5" s="418">
        <f>SUM(E6:E11)</f>
        <v>8.4418478361701133E-4</v>
      </c>
      <c r="F5" s="431" t="s">
        <v>210</v>
      </c>
      <c r="G5" s="418">
        <f>SUM(G6:G11)</f>
        <v>0.41008264862916199</v>
      </c>
      <c r="H5" s="418">
        <f>SUM(H6:H11)</f>
        <v>8.0784437871320752E-2</v>
      </c>
      <c r="I5" s="433" t="s">
        <v>210</v>
      </c>
      <c r="J5" s="433" t="s">
        <v>210</v>
      </c>
      <c r="K5" s="433" t="s">
        <v>210</v>
      </c>
      <c r="L5" s="433" t="s">
        <v>210</v>
      </c>
      <c r="M5" s="418">
        <f>SUM(M6:M11)</f>
        <v>2.8986641377385214E-2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1.7123848305750674E-4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2.890672098701524E-4</v>
      </c>
      <c r="E6" s="884">
        <f>vkm_GW_PW*SUMIFS(TableVerdeelsleutelVkm[LPG],TableVerdeelsleutelVkm[Voertuigtype],"Lichte voertuigen")*SUMIFS(TableECFTransport[EnergieConsumptieFactor (PJ per km)],TableECFTransport[Index],CONCATENATE($A6,"_LPG_LPG"))</f>
        <v>2.5330162653990469E-4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7.9126508578923352E-2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2.5784844099567428E-2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6.2682270855806532E-3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5.4437000316294633E-7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2.0777080726802673E-2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2.8880808268165859E-7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1.1976403806701137E-3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1.0607769444916742E-4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2.2864916894212094E-4</v>
      </c>
      <c r="E8" s="421">
        <f>vkm_NGW_PW*SUMIFS(TableVerdeelsleutelVkm[LPG],TableVerdeelsleutelVkm[Voertuigtype],"Lichte voertuigen")*SUMIFS(TableECFTransport[EnergieConsumptieFactor (PJ per km)],TableECFTransport[Index],CONCATENATE($A8,"_LPG_LPG"))</f>
        <v>1.9193083188899084E-4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5.5393558586859806E-2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2.0099880485596432E-2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4.523813821127134E-3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1.9003427529087004E-7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9.3243909626326889E-3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1.2169242420895411E-7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5.374795619246792E-4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2.7371380594613955E-4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3.7425228129105842E-4</v>
      </c>
      <c r="E10" s="421">
        <f>vkm_SW_PW*SUMIFS(TableVerdeelsleutelVkm[LPG],TableVerdeelsleutelVkm[Voertuigtype],"Lichte voertuigen")*SUMIFS(TableECFTransport[EnergieConsumptieFactor (PJ per km)],TableECFTransport[Index],CONCATENATE($A10,"_LPG_LPG"))</f>
        <v>3.989523251881158E-4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0.11356962693634365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3.4897313229494881E-2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8.8569312237467505E-3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3.6434314664660165E-6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0.13189148283759983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1.9895561551240715E-6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7.6025493043358839E-3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154.2799497771482</v>
      </c>
      <c r="C14" s="21"/>
      <c r="D14" s="21">
        <f t="shared" ref="D14:M14" si="0">((D5)*10^9/3600)+D12</f>
        <v>247.76907225092549</v>
      </c>
      <c r="E14" s="21">
        <f t="shared" si="0"/>
        <v>234.49577322694762</v>
      </c>
      <c r="F14" s="21"/>
      <c r="G14" s="21">
        <f t="shared" si="0"/>
        <v>113911.84684143389</v>
      </c>
      <c r="H14" s="21">
        <f t="shared" si="0"/>
        <v>22440.121630922433</v>
      </c>
      <c r="I14" s="21"/>
      <c r="J14" s="21"/>
      <c r="K14" s="21"/>
      <c r="L14" s="21"/>
      <c r="M14" s="21">
        <f t="shared" si="0"/>
        <v>8051.8448270514482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5.4412688761443971E-2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8.3947868893551725</v>
      </c>
      <c r="C18" s="23"/>
      <c r="D18" s="23">
        <f t="shared" ref="D18:M18" si="1">D14*D16</f>
        <v>50.049352594686951</v>
      </c>
      <c r="E18" s="23">
        <f t="shared" si="1"/>
        <v>53.23054052251711</v>
      </c>
      <c r="F18" s="23"/>
      <c r="G18" s="23">
        <f t="shared" si="1"/>
        <v>30414.46310666285</v>
      </c>
      <c r="H18" s="23">
        <f t="shared" si="1"/>
        <v>5587.5902860996857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5.4802090858377864E-5</v>
      </c>
      <c r="C50" s="315">
        <f t="shared" ref="C50:P50" si="2">SUM(C51:C52)</f>
        <v>0</v>
      </c>
      <c r="D50" s="315">
        <f t="shared" si="2"/>
        <v>0</v>
      </c>
      <c r="E50" s="315">
        <f t="shared" si="2"/>
        <v>0</v>
      </c>
      <c r="F50" s="315">
        <f t="shared" si="2"/>
        <v>0</v>
      </c>
      <c r="G50" s="315">
        <f t="shared" si="2"/>
        <v>3.9704940216127201E-3</v>
      </c>
      <c r="H50" s="315">
        <f t="shared" si="2"/>
        <v>0</v>
      </c>
      <c r="I50" s="315">
        <f t="shared" si="2"/>
        <v>0</v>
      </c>
      <c r="J50" s="315">
        <f t="shared" si="2"/>
        <v>0</v>
      </c>
      <c r="K50" s="315">
        <f t="shared" si="2"/>
        <v>0</v>
      </c>
      <c r="L50" s="315">
        <f t="shared" si="2"/>
        <v>0</v>
      </c>
      <c r="M50" s="315">
        <f t="shared" si="2"/>
        <v>2.2458296599777006E-4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5.4802090858377864E-5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3.9704940216127201E-3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2.2458296599777006E-4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15.222803016216075</v>
      </c>
      <c r="C54" s="21">
        <f t="shared" ref="C54:P54" si="3">(C50)*10^9/3600</f>
        <v>0</v>
      </c>
      <c r="D54" s="21">
        <f t="shared" si="3"/>
        <v>0</v>
      </c>
      <c r="E54" s="21">
        <f t="shared" si="3"/>
        <v>0</v>
      </c>
      <c r="F54" s="21">
        <f t="shared" si="3"/>
        <v>0</v>
      </c>
      <c r="G54" s="21">
        <f t="shared" si="3"/>
        <v>1102.9150060035333</v>
      </c>
      <c r="H54" s="21">
        <f t="shared" si="3"/>
        <v>0</v>
      </c>
      <c r="I54" s="21">
        <f t="shared" si="3"/>
        <v>0</v>
      </c>
      <c r="J54" s="21">
        <f t="shared" si="3"/>
        <v>0</v>
      </c>
      <c r="K54" s="21">
        <f t="shared" si="3"/>
        <v>0</v>
      </c>
      <c r="L54" s="21">
        <f t="shared" si="3"/>
        <v>0</v>
      </c>
      <c r="M54" s="21">
        <f t="shared" si="3"/>
        <v>62.384157221602791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5.4412688761443971E-2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0.82831364259813578</v>
      </c>
      <c r="C58" s="23">
        <f t="shared" ref="C58:P58" ca="1" si="4">C54*C56</f>
        <v>0</v>
      </c>
      <c r="D58" s="23">
        <f t="shared" si="4"/>
        <v>0</v>
      </c>
      <c r="E58" s="23">
        <f t="shared" si="4"/>
        <v>0</v>
      </c>
      <c r="F58" s="23">
        <f t="shared" si="4"/>
        <v>0</v>
      </c>
      <c r="G58" s="23">
        <f t="shared" si="4"/>
        <v>294.47830660294341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14327.938697769952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1719.7821235023039</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6879.4010213332231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44190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67117.121842605484</v>
      </c>
      <c r="C10" s="558">
        <f t="shared" ref="C10:L10" si="0">SUM(C8:C9)</f>
        <v>0</v>
      </c>
      <c r="D10" s="558">
        <f t="shared" si="0"/>
        <v>0</v>
      </c>
      <c r="E10" s="558">
        <f t="shared" si="0"/>
        <v>0</v>
      </c>
      <c r="F10" s="558">
        <f t="shared" si="0"/>
        <v>0</v>
      </c>
      <c r="G10" s="558">
        <f t="shared" si="0"/>
        <v>0</v>
      </c>
      <c r="H10" s="558">
        <f t="shared" si="0"/>
        <v>0</v>
      </c>
      <c r="I10" s="558">
        <f t="shared" si="0"/>
        <v>0</v>
      </c>
      <c r="J10" s="558">
        <f t="shared" si="0"/>
        <v>110475</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38.25">
      <c r="A35" s="589"/>
      <c r="B35" s="785">
        <v>71069</v>
      </c>
      <c r="C35" s="785">
        <v>3945</v>
      </c>
      <c r="D35" s="637" t="s">
        <v>906</v>
      </c>
      <c r="E35" s="637" t="s">
        <v>907</v>
      </c>
      <c r="F35" s="637" t="s">
        <v>908</v>
      </c>
      <c r="G35" s="637" t="s">
        <v>909</v>
      </c>
      <c r="H35" s="637" t="s">
        <v>910</v>
      </c>
      <c r="I35" s="637" t="s">
        <v>911</v>
      </c>
      <c r="J35" s="784">
        <v>40742</v>
      </c>
      <c r="K35" s="784">
        <v>40774</v>
      </c>
      <c r="L35" s="637" t="s">
        <v>912</v>
      </c>
      <c r="M35" s="637">
        <v>9820</v>
      </c>
      <c r="N35" s="637">
        <v>44190</v>
      </c>
      <c r="O35" s="637">
        <v>0</v>
      </c>
      <c r="P35" s="637">
        <v>0</v>
      </c>
      <c r="Q35" s="637">
        <v>0</v>
      </c>
      <c r="R35" s="637">
        <v>0</v>
      </c>
      <c r="S35" s="637">
        <v>0</v>
      </c>
      <c r="T35" s="637">
        <v>0</v>
      </c>
      <c r="U35" s="637">
        <v>0</v>
      </c>
      <c r="V35" s="637">
        <v>110475</v>
      </c>
      <c r="W35" s="637">
        <v>0</v>
      </c>
      <c r="X35" s="637">
        <v>1600</v>
      </c>
      <c r="Y35" s="637" t="s">
        <v>32</v>
      </c>
      <c r="Z35" s="638" t="s">
        <v>377</v>
      </c>
    </row>
    <row r="36" spans="1:27" s="568" customFormat="1">
      <c r="A36" s="590" t="s">
        <v>274</v>
      </c>
      <c r="B36" s="591"/>
      <c r="C36" s="591"/>
      <c r="D36" s="591"/>
      <c r="E36" s="591"/>
      <c r="F36" s="591"/>
      <c r="G36" s="591"/>
      <c r="H36" s="591"/>
      <c r="I36" s="591"/>
      <c r="J36" s="591"/>
      <c r="K36" s="591"/>
      <c r="L36" s="592"/>
      <c r="M36" s="592">
        <f>SUM(M35:M35)</f>
        <v>9820</v>
      </c>
      <c r="N36" s="592">
        <f>SUM(N35:N35)</f>
        <v>44190</v>
      </c>
      <c r="O36" s="592">
        <f>SUM(O35:O35)</f>
        <v>0</v>
      </c>
      <c r="P36" s="592">
        <f>SUM(P35:P35)</f>
        <v>0</v>
      </c>
      <c r="Q36" s="592">
        <f>SUM(Q35:Q35)</f>
        <v>0</v>
      </c>
      <c r="R36" s="592">
        <f>SUM(R35:R35)</f>
        <v>0</v>
      </c>
      <c r="S36" s="592">
        <f>SUM(S35:S35)</f>
        <v>0</v>
      </c>
      <c r="T36" s="592">
        <f>SUM(T35:T35)</f>
        <v>0</v>
      </c>
      <c r="U36" s="592">
        <f>SUM(U35:U35)</f>
        <v>0</v>
      </c>
      <c r="V36" s="592">
        <f>SUM(V35:V35)</f>
        <v>110475</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9820</v>
      </c>
      <c r="N37" s="592">
        <f>SUMIF($Z$35:$Z$35,"industrie",N35:N35)</f>
        <v>44190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110475</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2021-06-29T15:33:15Z</dcterms:modified>
</cp:coreProperties>
</file>