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J15" i="16"/>
  <c r="I9" i="18"/>
  <c r="I77" i="14" s="1"/>
  <c r="I9" i="59" s="1"/>
  <c r="D16" i="16"/>
  <c r="F6" i="17"/>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<sst xmlns="http://schemas.openxmlformats.org/spreadsheetml/2006/main" count="2484" uniqueCount="906">
  <si>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</si>
  <si>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</si>
  <si>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</si>
  <si>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</si>
  <si>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</si>
  <si>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</si>
  <si>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</si>
  <si>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</si>
  <si>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</si>
  <si>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</si>
  <si>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</si>
  <si>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</si>
  <si>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</si>
  <si>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</si>
  <si>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</si>
  <si>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</si>
  <si>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</si>
  <si>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</si>
  <si>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</si>
  <si>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</si>
  <si>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</si>
  <si>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</si>
  <si>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</si>
  <si>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</si>
  <si>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</si>
  <si>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</si>
  <si>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</si>
  <si>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</si>
  <si>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</si>
  <si>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</si>
  <si>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</si>
  <si>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</si>
  <si>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</si>
  <si>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</si>
  <si>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</si>
  <si>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</si>
  <si>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</si>
  <si>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</si>
  <si>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</si>
  <si>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</si>
  <si>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</si>
  <si>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</si>
  <si>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</si>
  <si>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</si>
  <si>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</si>
  <si>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</si>
  <si>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</si>
  <si>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</si>
  <si>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</si>
  <si>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</si>
  <si>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</si>
  <si>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</si>
  <si>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</si>
  <si>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</si>
  <si>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</si>
  <si>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</si>
  <si>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</si>
  <si>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</si>
  <si>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</si>
  <si>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</si>
  <si>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</si>
  <si>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</si>
  <si>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</si>
  <si>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</si>
  <si>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</si>
  <si>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</si>
  <si>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</si>
  <si>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</si>
  <si>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</si>
  <si>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</si>
  <si>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</si>
  <si>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</si>
  <si>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</si>
  <si>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</si>
  <si>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</si>
  <si>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</si>
  <si>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</si>
  <si>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</si>
  <si>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</si>
  <si>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</si>
  <si>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</si>
  <si>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</si>
  <si>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</si>
  <si>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</si>
  <si>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</si>
  <si>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</si>
  <si>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</si>
  <si>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</si>
  <si>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</si>
  <si>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</si>
  <si>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</si>
  <si>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</si>
  <si>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</si>
  <si>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</si>
  <si>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</si>
  <si>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</si>
  <si>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</si>
  <si>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</si>
  <si>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</si>
  <si>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</si>
  <si>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</si>
  <si>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</si>
  <si>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</si>
  <si>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</si>
  <si>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</si>
  <si>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</si>
  <si>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</si>
  <si>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</si>
  <si>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</si>
  <si>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</si>
  <si>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</si>
  <si>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</si>
  <si>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</si>
  <si>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</si>
  <si>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</si>
  <si>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</si>
  <si>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</si>
  <si>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</si>
  <si>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</si>
  <si>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</si>
  <si>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</si>
  <si>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</si>
  <si>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</si>
  <si>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</si>
  <si>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</si>
  <si>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</si>
  <si>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</si>
  <si>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</si>
  <si>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</si>
  <si>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</si>
  <si>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</si>
  <si>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</si>
  <si>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</si>
  <si>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</si>
  <si>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</si>
  <si>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</si>
  <si>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</si>
  <si>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</si>
  <si>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</si>
  <si>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</si>
  <si>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</si>
  <si>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</si>
  <si>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</si>
  <si>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</si>
  <si>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</si>
  <si>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</si>
  <si>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</si>
  <si>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</si>
  <si>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</si>
  <si>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</si>
  <si>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</si>
  <si>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</si>
  <si>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</si>
  <si>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</si>
  <si>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</si>
  <si>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</si>
  <si>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</si>
  <si>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</si>
  <si>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</si>
  <si>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</si>
  <si>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</si>
  <si>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</si>
  <si>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</si>
  <si>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</si>
  <si>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</si>
  <si>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</si>
  <si>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</si>
  <si>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</si>
  <si>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</si>
  <si>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</si>
  <si>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</si>
  <si>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</si>
  <si>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</si>
  <si>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</si>
  <si>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</si>
  <si>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</si>
  <si>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</si>
  <si>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</si>
  <si>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</si>
  <si>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</si>
  <si>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</si>
  <si>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</si>
  <si>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</si>
  <si>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</si>
  <si>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</si>
  <si>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</si>
  <si>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</si>
  <si>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</si>
  <si>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</si>
  <si>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</si>
  <si>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</si>
  <si>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</si>
  <si>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</si>
  <si>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</si>
  <si>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</si>
  <si>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</si>
  <si>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</si>
  <si>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</si>
  <si>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</si>
  <si>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</si>
  <si>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</si>
  <si>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</si>
  <si>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</si>
  <si>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</si>
  <si>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</si>
  <si>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</si>
  <si>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</si>
  <si>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</si>
  <si>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</si>
  <si>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</si>
  <si>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</si>
  <si>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</si>
  <si>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</si>
  <si>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</si>
  <si>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</si>
  <si>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</si>
  <si>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</si>
  <si>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</si>
  <si>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</si>
  <si>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</si>
  <si>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</si>
  <si>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</si>
  <si>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</si>
  <si>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</si>
  <si>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</si>
  <si>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</si>
  <si>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</si>
  <si>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</si>
  <si>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</si>
  <si>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</si>
  <si>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</si>
  <si>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</si>
  <si>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</si>
  <si>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</si>
  <si>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</si>
  <si>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</si>
  <si>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</si>
  <si>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</si>
  <si>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</si>
  <si>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</si>
  <si>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</si>
  <si>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</si>
  <si>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</si>
  <si>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</si>
  <si>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</si>
  <si>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</si>
  <si>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</si>
  <si>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</si>
  <si>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</si>
  <si>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</si>
  <si>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</si>
  <si>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</si>
  <si>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</si>
  <si>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</si>
  <si>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</si>
  <si>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</si>
  <si>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</si>
  <si>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</si>
  <si>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</si>
  <si>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</si>
  <si>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</si>
  <si>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</si>
  <si>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</si>
  <si>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</si>
  <si>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</si>
  <si>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</si>
  <si>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</si>
  <si>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</si>
  <si>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</si>
  <si>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</si>
  <si>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</si>
  <si>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</si>
  <si>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</si>
  <si>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</si>
  <si>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</si>
  <si>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</si>
  <si>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</si>
  <si>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</si>
  <si>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</si>
  <si>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</si>
  <si>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</si>
  <si>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</si>
  <si>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</si>
  <si>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</si>
  <si>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</si>
  <si>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</si>
  <si>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</si>
  <si>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</si>
  <si>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</si>
  <si>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</si>
  <si>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</si>
  <si>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</si>
  <si>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</si>
  <si>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</si>
  <si>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</si>
  <si>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</si>
  <si>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</si>
  <si>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</si>
  <si>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</si>
  <si>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</si>
  <si>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</si>
  <si>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</si>
  <si>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</si>
  <si>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</si>
  <si>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</si>
  <si>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</si>
  <si>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</si>
  <si>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</si>
  <si>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</si>
  <si>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</si>
  <si>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</si>
  <si>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</si>
  <si>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</si>
  <si>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</si>
  <si>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</si>
  <si>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</si>
  <si>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</si>
  <si>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</si>
  <si>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</si>
  <si>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</si>
  <si>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</si>
  <si>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</si>
  <si>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</si>
  <si>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</si>
  <si>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</si>
  <si>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</si>
  <si>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</si>
  <si>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</si>
  <si>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</si>
  <si>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</si>
  <si>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</si>
  <si>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</si>
  <si>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</si>
  <si>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</si>
  <si>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</si>
  <si>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</si>
  <si>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</si>
  <si>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</si>
  <si>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</si>
  <si>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</si>
  <si>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</si>
  <si>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</si>
  <si>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</si>
  <si>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</si>
  <si>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</si>
  <si>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</si>
  <si>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</si>
  <si>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</si>
  <si>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</si>
  <si>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</si>
  <si>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</si>
  <si>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</si>
  <si>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</si>
  <si>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</si>
  <si>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</si>
  <si>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</si>
  <si>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</si>
  <si>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</si>
  <si>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</si>
  <si>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</si>
  <si>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</si>
  <si>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</si>
  <si>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</si>
  <si>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</si>
  <si>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</si>
  <si>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</si>
  <si>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</si>
  <si>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</si>
  <si>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</si>
  <si>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</si>
  <si>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</si>
  <si>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</si>
  <si>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</si>
  <si>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</si>
  <si>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</si>
  <si>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</si>
  <si>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</si>
  <si>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</si>
  <si>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</si>
  <si>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</si>
  <si>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</si>
  <si>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</si>
  <si>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</si>
  <si>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</si>
  <si>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</si>
  <si>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</si>
  <si>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</si>
  <si>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</si>
  <si>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</si>
  <si>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</si>
  <si>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</si>
  <si>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</si>
  <si>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</si>
  <si>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</si>
  <si>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</si>
  <si>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</si>
  <si>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</si>
  <si>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</si>
  <si>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</si>
  <si>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</si>
  <si>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</si>
  <si>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</si>
  <si>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</si>
  <si>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</si>
  <si>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</si>
  <si>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</si>
  <si>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</si>
  <si>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</si>
  <si>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</si>
  <si>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</si>
  <si>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</si>
  <si>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</si>
  <si>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</si>
  <si>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</si>
  <si>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</si>
  <si>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</si>
  <si>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</si>
  <si>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</si>
  <si>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</si>
  <si>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</si>
  <si>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</si>
  <si>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</si>
  <si>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</si>
  <si>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</si>
  <si>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</si>
  <si>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</si>
  <si>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</si>
  <si>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</si>
  <si>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</si>
  <si>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</si>
  <si>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</si>
  <si>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</si>
  <si>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</si>
  <si>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</si>
  <si>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</si>
  <si>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</si>
  <si>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</si>
  <si>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</si>
  <si>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</si>
  <si>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</si>
  <si>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</si>
  <si>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</si>
  <si>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</si>
  <si>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</si>
  <si>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</si>
  <si>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</si>
  <si>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</si>
  <si>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</si>
  <si>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</si>
  <si>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</si>
  <si>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</si>
  <si>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</si>
  <si>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</si>
  <si>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</si>
  <si>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</si>
  <si>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</si>
  <si>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</si>
  <si>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</si>
  <si>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</si>
  <si>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</si>
  <si>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</si>
  <si>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</si>
  <si>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</si>
  <si>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</si>
  <si>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</si>
  <si>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</si>
  <si>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</si>
  <si>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</si>
  <si>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</si>
  <si>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</si>
  <si>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</si>
  <si>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</si>
  <si>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</si>
  <si>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</si>
  <si>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</si>
  <si>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</si>
  <si>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</si>
  <si>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</si>
  <si>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</si>
  <si>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</si>
  <si>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</si>
  <si>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</si>
  <si>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</si>
  <si>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</si>
  <si>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</si>
  <si>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</si>
  <si>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</si>
  <si>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</si>
  <si>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</si>
  <si>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</si>
  <si>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</si>
  <si>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</si>
  <si>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</si>
  <si>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</si>
  <si>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</si>
  <si>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</si>
  <si>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</si>
  <si>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</si>
  <si>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</si>
  <si>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</si>
  <si>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</si>
  <si>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</si>
  <si>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</si>
  <si>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</si>
  <si>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</si>
  <si>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</si>
  <si>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</si>
  <si>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</si>
  <si>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</si>
  <si>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</si>
  <si>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</si>
  <si>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</si>
  <si>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</si>
  <si>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</si>
  <si>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</si>
  <si>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</si>
  <si>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</si>
  <si>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</si>
  <si>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</si>
  <si>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</si>
  <si>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</si>
  <si>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</si>
  <si>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</si>
  <si>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</si>
  <si>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</si>
  <si>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</si>
  <si>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</si>
  <si>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</si>
  <si>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</si>
  <si>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</si>
  <si>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</si>
  <si>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</si>
  <si>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</si>
  <si>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</si>
  <si>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</si>
  <si>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</si>
  <si>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</si>
  <si>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</si>
  <si>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</si>
  <si>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</si>
  <si>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</si>
  <si>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</si>
  <si>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</si>
  <si>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</si>
  <si>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</si>
  <si>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</si>
  <si>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</si>
  <si>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</si>
  <si>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</si>
  <si>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</si>
  <si>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</si>
  <si>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</si>
  <si>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</si>
  <si>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</si>
  <si>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</si>
  <si>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</si>
  <si>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</si>
  <si>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</si>
  <si>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</si>
  <si>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</si>
  <si>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</si>
  <si>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</si>
  <si>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</si>
  <si>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</si>
  <si>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</si>
  <si>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</si>
  <si>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</si>
  <si>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</si>
  <si>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</si>
  <si>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</si>
  <si>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</si>
  <si>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</si>
  <si>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</si>
  <si>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</si>
  <si>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</si>
  <si>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</si>
  <si>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</si>
  <si>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</si>
  <si>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</si>
  <si>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</si>
  <si>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</si>
  <si>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</si>
  <si>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</si>
  <si>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</si>
  <si>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</si>
  <si>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</si>
  <si>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</si>
  <si>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</si>
  <si>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</si>
  <si>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</si>
  <si>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</si>
  <si>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</si>
  <si>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</si>
  <si>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</si>
  <si>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</si>
  <si>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</si>
  <si>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</si>
  <si>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</si>
  <si>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</si>
  <si>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</si>
  <si>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</si>
  <si>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</si>
  <si>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</si>
  <si>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</si>
  <si>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</si>
  <si>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</si>
  <si>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</si>
  <si>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</si>
  <si>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</si>
  <si>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</si>
  <si>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</si>
  <si>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</si>
  <si>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</si>
  <si>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</si>
  <si>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</si>
  <si>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</si>
  <si>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</si>
  <si>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</si>
  <si>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</si>
  <si>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</si>
  <si>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</si>
  <si>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</si>
  <si>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</si>
  <si>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</si>
  <si>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</si>
  <si>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</si>
  <si>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</si>
  <si>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</si>
  <si>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</si>
  <si>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</si>
  <si>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</si>
  <si>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</si>
  <si>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</si>
  <si>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</si>
  <si>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</si>
  <si>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</si>
  <si>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</si>
  <si>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</si>
  <si>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</si>
  <si>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</si>
  <si>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</si>
  <si>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</si>
  <si>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</si>
  <si>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</si>
  <si>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</si>
  <si>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</si>
  <si>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</si>
  <si>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</si>
  <si>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</si>
  <si>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</si>
  <si>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</si>
  <si>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</si>
  <si>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</si>
  <si>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</si>
  <si>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</si>
  <si>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</si>
  <si>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</si>
  <si>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</si>
  <si>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</si>
  <si>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</si>
  <si>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</si>
  <si>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</si>
  <si>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</si>
  <si>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</si>
  <si>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</si>
  <si>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</si>
  <si>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</si>
  <si>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</si>
  <si>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</si>
  <si>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</si>
  <si>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</si>
  <si>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</si>
  <si>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</si>
  <si>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</si>
  <si>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</si>
  <si>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</si>
  <si>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</si>
  <si>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</si>
  <si>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</si>
  <si>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</si>
  <si>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</si>
  <si>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</si>
  <si>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</si>
  <si>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</si>
  <si>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</si>
  <si>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</si>
  <si>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</si>
  <si>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</si>
  <si>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</si>
  <si>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</si>
  <si>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</si>
  <si>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</si>
  <si>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</si>
  <si>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</si>
  <si>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</si>
  <si>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</si>
  <si>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</si>
  <si>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</si>
  <si>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</si>
  <si>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</si>
  <si>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</si>
  <si>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</si>
  <si>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</si>
  <si>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</si>
  <si>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</si>
  <si>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</si>
  <si>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</si>
  <si>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</si>
  <si>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</si>
  <si>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</si>
  <si>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</si>
  <si>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</si>
  <si>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</si>
  <si>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</si>
  <si>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</si>
  <si>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</si>
  <si>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</si>
  <si>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</si>
  <si>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</si>
  <si>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</si>
  <si>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</si>
  <si>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</si>
  <si>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</si>
  <si>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</si>
  <si>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</si>
  <si>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</si>
  <si>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</si>
  <si>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</si>
  <si>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</si>
  <si>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</si>
  <si>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</si>
  <si>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</si>
  <si>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</si>
  <si>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</si>
  <si>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</si>
  <si>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</si>
  <si>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</si>
  <si>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</si>
  <si>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</si>
  <si>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</si>
  <si>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</si>
  <si>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</si>
  <si>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</si>
  <si>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</si>
  <si>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</si>
  <si>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</si>
  <si>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</si>
  <si>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</si>
  <si>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</si>
  <si>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</si>
  <si>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</si>
  <si>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</si>
  <si>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</si>
  <si>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</si>
  <si>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</si>
  <si>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</si>
  <si>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</si>
  <si>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</si>
  <si>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</si>
  <si>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</si>
  <si>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</si>
  <si>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</si>
  <si>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</si>
  <si>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</si>
  <si>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</si>
  <si>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</si>
  <si>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</si>
  <si>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</si>
  <si>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</si>
  <si>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</si>
  <si>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</si>
  <si>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</si>
  <si>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</si>
  <si>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</si>
  <si>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</si>
  <si>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</si>
  <si>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</si>
  <si>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</si>
  <si>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</si>
  <si>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</si>
  <si>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</si>
  <si>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</si>
  <si>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</si>
  <si>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</si>
  <si>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</si>
  <si>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</si>
  <si>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</si>
  <si>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</si>
  <si>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</si>
  <si>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</si>
  <si>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</si>
  <si>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</si>
  <si>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</si>
  <si>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</si>
  <si>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</si>
  <si>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</si>
  <si>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</si>
  <si>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</si>
  <si>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</si>
  <si>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</si>
  <si>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</si>
  <si>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</si>
  <si>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</si>
  <si>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</si>
  <si>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</si>
  <si>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</si>
  <si>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</si>
  <si>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</si>
  <si>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</si>
  <si>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</si>
  <si>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</si>
  <si>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</si>
  <si>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</si>
  <si>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</si>
  <si>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</si>
  <si>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</si>
  <si>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</si>
  <si>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</si>
  <si>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</si>
  <si>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</si>
  <si>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</si>
  <si>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</si>
  <si>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</si>
  <si>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</si>
  <si>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</si>
  <si>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</si>
  <si>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</si>
  <si>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</si>
  <si>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</si>
  <si>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</si>
  <si>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</si>
  <si>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</si>
  <si>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</si>
  <si>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</si>
  <si>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</si>
  <si>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</si>
  <si>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</si>
  <si>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</si>
  <si>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</si>
  <si>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</si>
  <si>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</si>
  <si>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</si>
  <si>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</si>
  <si>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</si>
  <si>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</si>
  <si>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</si>
  <si>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</si>
  <si>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</si>
  <si>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</si>
  <si>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</si>
  <si>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</si>
  <si>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</si>
  <si>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</si>
  <si>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</si>
  <si>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</si>
  <si>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</si>
  <si>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</si>
  <si>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</si>
  <si>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</si>
  <si>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</si>
  <si>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</si>
  <si>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</si>
  <si>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</si>
  <si>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</si>
  <si>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</si>
  <si>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</si>
  <si>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</si>
  <si>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</si>
  <si>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</si>
  <si>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</si>
  <si>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</si>
  <si>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</si>
  <si>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</si>
  <si>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</si>
  <si>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</si>
  <si>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</si>
  <si>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</si>
  <si>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</si>
  <si>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</si>
  <si>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</si>
  <si>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</si>
  <si>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</si>
  <si>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</si>
  <si>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</si>
  <si>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</si>
  <si>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</si>
  <si>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</si>
  <si>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</si>
  <si>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</si>
  <si>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</si>
  <si>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</si>
  <si>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</si>
  <si>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</si>
  <si>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</si>
  <si>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</si>
  <si>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</si>
  <si>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</si>
  <si>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</si>
  <si>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</si>
  <si>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</si>
  <si>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</si>
  <si>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</si>
  <si>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</si>
  <si>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71047</t>
  </si>
  <si>
    <t>OPGLABBEEK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</si>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</sst>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87602.495844881851</c:v>
                </c:pt>
                <c:pt idx="1">
                  <c:v>43032.333902784136</c:v>
                </c:pt>
                <c:pt idx="2">
                  <c:v>653.41399999999999</c:v>
                </c:pt>
                <c:pt idx="3">
                  <c:v>1683.0345512225758</c:v>
                </c:pt>
                <c:pt idx="4">
                  <c:v>31891.362937326689</c:v>
                </c:pt>
                <c:pt idx="5">
                  <c:v>50152.920433624138</c:v>
                </c:pt>
                <c:pt idx="6">
                  <c:v>1119.7892426320925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87602.495844881851</c:v>
                </c:pt>
                <c:pt idx="1">
                  <c:v>43032.333902784136</c:v>
                </c:pt>
                <c:pt idx="2">
                  <c:v>653.41399999999999</c:v>
                </c:pt>
                <c:pt idx="3">
                  <c:v>1683.0345512225758</c:v>
                </c:pt>
                <c:pt idx="4">
                  <c:v>31891.362937326689</c:v>
                </c:pt>
                <c:pt idx="5">
                  <c:v>50152.920433624138</c:v>
                </c:pt>
                <c:pt idx="6">
                  <c:v>1119.7892426320925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17910.355568184041</c:v>
                </c:pt>
                <c:pt idx="1">
                  <c:v>8058.8844248472305</c:v>
                </c:pt>
                <c:pt idx="2">
                  <c:v>109.07968024056748</c:v>
                </c:pt>
                <c:pt idx="3">
                  <c:v>420.27909968632844</c:v>
                </c:pt>
                <c:pt idx="4">
                  <c:v>6013.9206362585364</c:v>
                </c:pt>
                <c:pt idx="5">
                  <c:v>12447.220613258582</c:v>
                </c:pt>
                <c:pt idx="6">
                  <c:v>281.73920626175254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17910.355568184041</c:v>
                </c:pt>
                <c:pt idx="1">
                  <c:v>8058.8844248472305</c:v>
                </c:pt>
                <c:pt idx="2">
                  <c:v>109.07968024056748</c:v>
                </c:pt>
                <c:pt idx="3">
                  <c:v>420.27909968632844</c:v>
                </c:pt>
                <c:pt idx="4">
                  <c:v>6013.9206362585364</c:v>
                </c:pt>
                <c:pt idx="5">
                  <c:v>12447.220613258582</c:v>
                </c:pt>
                <c:pt idx="6">
                  <c:v>281.73920626175254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71047</v>
      </c>
      <c r="B6" s="386"/>
      <c r="C6" s="387"/>
    </row>
    <row r="7" spans="1:7" s="384" customFormat="1" ht="15.75" customHeight="1">
      <c r="A7" s="388" t="str">
        <f>txtMunicipality</f>
        <v>OPGLABBEEK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19869.338332000003</v>
      </c>
      <c r="D10" s="681">
        <f ca="1">tertiair!C16</f>
        <v>0</v>
      </c>
      <c r="E10" s="681">
        <f ca="1">tertiair!D16</f>
        <v>20914.456499838005</v>
      </c>
      <c r="F10" s="681">
        <f>tertiair!E16</f>
        <v>372.31205843296465</v>
      </c>
      <c r="G10" s="681">
        <f ca="1">tertiair!F16</f>
        <v>2029.1217585897707</v>
      </c>
      <c r="H10" s="681">
        <f>tertiair!G16</f>
        <v>0</v>
      </c>
      <c r="I10" s="681">
        <f>tertiair!H16</f>
        <v>0</v>
      </c>
      <c r="J10" s="681">
        <f>tertiair!I16</f>
        <v>0</v>
      </c>
      <c r="K10" s="681">
        <f>tertiair!J16</f>
        <v>1.2156968319841196E-2</v>
      </c>
      <c r="L10" s="681">
        <f>tertiair!K16</f>
        <v>0</v>
      </c>
      <c r="M10" s="681">
        <f ca="1">tertiair!L16</f>
        <v>0</v>
      </c>
      <c r="N10" s="681">
        <f>tertiair!M16</f>
        <v>0</v>
      </c>
      <c r="O10" s="681">
        <f ca="1">tertiair!N16</f>
        <v>485.81531465755779</v>
      </c>
      <c r="P10" s="681">
        <f>tertiair!O16</f>
        <v>14.691782297523464</v>
      </c>
      <c r="Q10" s="682">
        <f>tertiair!P16</f>
        <v>0</v>
      </c>
      <c r="R10" s="684">
        <f ca="1">SUM(C10:Q10)</f>
        <v>43685.74790278414</v>
      </c>
      <c r="S10" s="67"/>
    </row>
    <row r="11" spans="1:19" s="444" customFormat="1">
      <c r="A11" s="802" t="s">
        <v>219</v>
      </c>
      <c r="B11" s="807"/>
      <c r="C11" s="681">
        <f>huishoudens!B8</f>
        <v>17951.247234173945</v>
      </c>
      <c r="D11" s="681">
        <f>huishoudens!C8</f>
        <v>0</v>
      </c>
      <c r="E11" s="681">
        <f>huishoudens!D8</f>
        <v>28268.874380999998</v>
      </c>
      <c r="F11" s="681">
        <f>huishoudens!E8</f>
        <v>2020.8393346257553</v>
      </c>
      <c r="G11" s="681">
        <f>huishoudens!F8</f>
        <v>32578.623461633779</v>
      </c>
      <c r="H11" s="681">
        <f>huishoudens!G8</f>
        <v>0</v>
      </c>
      <c r="I11" s="681">
        <f>huishoudens!H8</f>
        <v>0</v>
      </c>
      <c r="J11" s="681">
        <f>huishoudens!I8</f>
        <v>0</v>
      </c>
      <c r="K11" s="681">
        <f>huishoudens!J8</f>
        <v>130.1501643977584</v>
      </c>
      <c r="L11" s="681">
        <f>huishoudens!K8</f>
        <v>0</v>
      </c>
      <c r="M11" s="681">
        <f>huishoudens!L8</f>
        <v>0</v>
      </c>
      <c r="N11" s="681">
        <f>huishoudens!M8</f>
        <v>0</v>
      </c>
      <c r="O11" s="681">
        <f>huishoudens!N8</f>
        <v>5941.4620895384314</v>
      </c>
      <c r="P11" s="681">
        <f>huishoudens!O8</f>
        <v>353.14456305089169</v>
      </c>
      <c r="Q11" s="682">
        <f>huishoudens!P8</f>
        <v>358.15461646129074</v>
      </c>
      <c r="R11" s="684">
        <f>SUM(C11:Q11)</f>
        <v>87602.495844881851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12551.3577</v>
      </c>
      <c r="D13" s="681">
        <f>industrie!C18</f>
        <v>0</v>
      </c>
      <c r="E13" s="681">
        <f>industrie!D18</f>
        <v>11690.042672000001</v>
      </c>
      <c r="F13" s="681">
        <f>industrie!E18</f>
        <v>1045.327963910795</v>
      </c>
      <c r="G13" s="681">
        <f>industrie!F18</f>
        <v>4862.6827866400608</v>
      </c>
      <c r="H13" s="681">
        <f>industrie!G18</f>
        <v>0</v>
      </c>
      <c r="I13" s="681">
        <f>industrie!H18</f>
        <v>0</v>
      </c>
      <c r="J13" s="681">
        <f>industrie!I18</f>
        <v>0</v>
      </c>
      <c r="K13" s="681">
        <f>industrie!J18</f>
        <v>61.035811942208504</v>
      </c>
      <c r="L13" s="681">
        <f>industrie!K18</f>
        <v>0</v>
      </c>
      <c r="M13" s="681">
        <f>industrie!L18</f>
        <v>0</v>
      </c>
      <c r="N13" s="681">
        <f>industrie!M18</f>
        <v>0</v>
      </c>
      <c r="O13" s="681">
        <f>industrie!N18</f>
        <v>1680.9160028336219</v>
      </c>
      <c r="P13" s="681">
        <f>industrie!O18</f>
        <v>0</v>
      </c>
      <c r="Q13" s="682">
        <f>industrie!P18</f>
        <v>0</v>
      </c>
      <c r="R13" s="684">
        <f>SUM(C13:Q13)</f>
        <v>31891.362937326689</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50371.943266173948</v>
      </c>
      <c r="D16" s="717">
        <f t="shared" ref="D16:R16" ca="1" si="0">SUM(D9:D15)</f>
        <v>0</v>
      </c>
      <c r="E16" s="717">
        <f t="shared" ca="1" si="0"/>
        <v>60873.373552838006</v>
      </c>
      <c r="F16" s="717">
        <f t="shared" si="0"/>
        <v>3438.4793569695148</v>
      </c>
      <c r="G16" s="717">
        <f t="shared" ca="1" si="0"/>
        <v>39470.428006863614</v>
      </c>
      <c r="H16" s="717">
        <f t="shared" si="0"/>
        <v>0</v>
      </c>
      <c r="I16" s="717">
        <f t="shared" si="0"/>
        <v>0</v>
      </c>
      <c r="J16" s="717">
        <f t="shared" si="0"/>
        <v>0</v>
      </c>
      <c r="K16" s="717">
        <f t="shared" si="0"/>
        <v>191.19813330828674</v>
      </c>
      <c r="L16" s="717">
        <f t="shared" si="0"/>
        <v>0</v>
      </c>
      <c r="M16" s="717">
        <f t="shared" ca="1" si="0"/>
        <v>0</v>
      </c>
      <c r="N16" s="717">
        <f t="shared" si="0"/>
        <v>0</v>
      </c>
      <c r="O16" s="717">
        <f t="shared" ca="1" si="0"/>
        <v>8108.1934070296111</v>
      </c>
      <c r="P16" s="717">
        <f t="shared" si="0"/>
        <v>367.83634534841514</v>
      </c>
      <c r="Q16" s="717">
        <f t="shared" si="0"/>
        <v>358.15461646129074</v>
      </c>
      <c r="R16" s="717">
        <f t="shared" ca="1" si="0"/>
        <v>163179.60668499267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14.439655972298178</v>
      </c>
      <c r="D19" s="681">
        <f>transport!C54</f>
        <v>0</v>
      </c>
      <c r="E19" s="681">
        <f>transport!D54</f>
        <v>0</v>
      </c>
      <c r="F19" s="681">
        <f>transport!E54</f>
        <v>0</v>
      </c>
      <c r="G19" s="681">
        <f>transport!F54</f>
        <v>0</v>
      </c>
      <c r="H19" s="681">
        <f>transport!G54</f>
        <v>1046.1748231525662</v>
      </c>
      <c r="I19" s="681">
        <f>transport!H54</f>
        <v>0</v>
      </c>
      <c r="J19" s="681">
        <f>transport!I54</f>
        <v>0</v>
      </c>
      <c r="K19" s="681">
        <f>transport!J54</f>
        <v>0</v>
      </c>
      <c r="L19" s="681">
        <f>transport!K54</f>
        <v>0</v>
      </c>
      <c r="M19" s="681">
        <f>transport!L54</f>
        <v>0</v>
      </c>
      <c r="N19" s="681">
        <f>transport!M54</f>
        <v>59.17476350722815</v>
      </c>
      <c r="O19" s="681">
        <f>transport!N54</f>
        <v>0</v>
      </c>
      <c r="P19" s="681">
        <f>transport!O54</f>
        <v>0</v>
      </c>
      <c r="Q19" s="682">
        <f>transport!P54</f>
        <v>0</v>
      </c>
      <c r="R19" s="684">
        <f>SUM(C19:Q19)</f>
        <v>1119.7892426320925</v>
      </c>
      <c r="S19" s="67"/>
    </row>
    <row r="20" spans="1:19" s="444" customFormat="1">
      <c r="A20" s="802" t="s">
        <v>301</v>
      </c>
      <c r="B20" s="807"/>
      <c r="C20" s="681">
        <f>transport!B14</f>
        <v>58.484728912116729</v>
      </c>
      <c r="D20" s="681">
        <f>transport!C14</f>
        <v>0</v>
      </c>
      <c r="E20" s="681">
        <f>transport!D14</f>
        <v>112.5223432333802</v>
      </c>
      <c r="F20" s="681">
        <f>transport!E14</f>
        <v>96.195577518136318</v>
      </c>
      <c r="G20" s="681">
        <f>transport!F14</f>
        <v>0</v>
      </c>
      <c r="H20" s="681">
        <f>transport!G14</f>
        <v>37133.526455199986</v>
      </c>
      <c r="I20" s="681">
        <f>transport!H14</f>
        <v>9952.7703284744293</v>
      </c>
      <c r="J20" s="681">
        <f>transport!I14</f>
        <v>0</v>
      </c>
      <c r="K20" s="681">
        <f>transport!J14</f>
        <v>0</v>
      </c>
      <c r="L20" s="681">
        <f>transport!K14</f>
        <v>0</v>
      </c>
      <c r="M20" s="681">
        <f>transport!L14</f>
        <v>0</v>
      </c>
      <c r="N20" s="681">
        <f>transport!M14</f>
        <v>2799.421000286095</v>
      </c>
      <c r="O20" s="681">
        <f>transport!N14</f>
        <v>0</v>
      </c>
      <c r="P20" s="681">
        <f>transport!O14</f>
        <v>0</v>
      </c>
      <c r="Q20" s="682">
        <f>transport!P14</f>
        <v>0</v>
      </c>
      <c r="R20" s="684">
        <f>SUM(C20:Q20)</f>
        <v>50152.920433624138</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72.924384884414906</v>
      </c>
      <c r="D22" s="805">
        <f t="shared" ref="D22:R22" si="1">SUM(D18:D21)</f>
        <v>0</v>
      </c>
      <c r="E22" s="805">
        <f t="shared" si="1"/>
        <v>112.5223432333802</v>
      </c>
      <c r="F22" s="805">
        <f t="shared" si="1"/>
        <v>96.195577518136318</v>
      </c>
      <c r="G22" s="805">
        <f t="shared" si="1"/>
        <v>0</v>
      </c>
      <c r="H22" s="805">
        <f t="shared" si="1"/>
        <v>38179.70127835255</v>
      </c>
      <c r="I22" s="805">
        <f t="shared" si="1"/>
        <v>9952.7703284744293</v>
      </c>
      <c r="J22" s="805">
        <f t="shared" si="1"/>
        <v>0</v>
      </c>
      <c r="K22" s="805">
        <f t="shared" si="1"/>
        <v>0</v>
      </c>
      <c r="L22" s="805">
        <f t="shared" si="1"/>
        <v>0</v>
      </c>
      <c r="M22" s="805">
        <f t="shared" si="1"/>
        <v>0</v>
      </c>
      <c r="N22" s="805">
        <f t="shared" si="1"/>
        <v>2858.5957637933234</v>
      </c>
      <c r="O22" s="805">
        <f t="shared" si="1"/>
        <v>0</v>
      </c>
      <c r="P22" s="805">
        <f t="shared" si="1"/>
        <v>0</v>
      </c>
      <c r="Q22" s="805">
        <f t="shared" si="1"/>
        <v>0</v>
      </c>
      <c r="R22" s="805">
        <f t="shared" si="1"/>
        <v>51272.709676256229</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338.398077</v>
      </c>
      <c r="D24" s="681">
        <f>+landbouw!C8</f>
        <v>0</v>
      </c>
      <c r="E24" s="681">
        <f>+landbouw!D8</f>
        <v>44.907874</v>
      </c>
      <c r="F24" s="681">
        <f>+landbouw!E8</f>
        <v>10.561292393250815</v>
      </c>
      <c r="G24" s="681">
        <f>+landbouw!F8</f>
        <v>1195.9362908457279</v>
      </c>
      <c r="H24" s="681">
        <f>+landbouw!G8</f>
        <v>0</v>
      </c>
      <c r="I24" s="681">
        <f>+landbouw!H8</f>
        <v>0</v>
      </c>
      <c r="J24" s="681">
        <f>+landbouw!I8</f>
        <v>0</v>
      </c>
      <c r="K24" s="681">
        <f>+landbouw!J8</f>
        <v>93.231016983597016</v>
      </c>
      <c r="L24" s="681">
        <f>+landbouw!K8</f>
        <v>0</v>
      </c>
      <c r="M24" s="681">
        <f>+landbouw!L8</f>
        <v>0</v>
      </c>
      <c r="N24" s="681">
        <f>+landbouw!M8</f>
        <v>0</v>
      </c>
      <c r="O24" s="681">
        <f>+landbouw!N8</f>
        <v>0</v>
      </c>
      <c r="P24" s="681">
        <f>+landbouw!O8</f>
        <v>0</v>
      </c>
      <c r="Q24" s="682">
        <f>+landbouw!P8</f>
        <v>0</v>
      </c>
      <c r="R24" s="684">
        <f>SUM(C24:Q24)</f>
        <v>1683.0345512225758</v>
      </c>
      <c r="S24" s="67"/>
    </row>
    <row r="25" spans="1:19" s="444" customFormat="1" ht="15" thickBot="1">
      <c r="A25" s="824" t="s">
        <v>714</v>
      </c>
      <c r="B25" s="943"/>
      <c r="C25" s="944">
        <f>IF(Onbekend_ele_kWh="---",0,Onbekend_ele_kWh)/1000+IF(REST_rest_ele_kWh="---",0,REST_rest_ele_kWh)/1000</f>
        <v>451.3578</v>
      </c>
      <c r="D25" s="944"/>
      <c r="E25" s="944">
        <f>IF(onbekend_gas_kWh="---",0,onbekend_gas_kWh)/1000+IF(REST_rest_gas_kWh="---",0,REST_rest_gas_kWh)/1000</f>
        <v>1015.1985999999999</v>
      </c>
      <c r="F25" s="944"/>
      <c r="G25" s="944"/>
      <c r="H25" s="944"/>
      <c r="I25" s="944"/>
      <c r="J25" s="944"/>
      <c r="K25" s="944"/>
      <c r="L25" s="944"/>
      <c r="M25" s="944"/>
      <c r="N25" s="944"/>
      <c r="O25" s="944"/>
      <c r="P25" s="944"/>
      <c r="Q25" s="945"/>
      <c r="R25" s="684">
        <f>SUM(C25:Q25)</f>
        <v>1466.5563999999999</v>
      </c>
      <c r="S25" s="67"/>
    </row>
    <row r="26" spans="1:19" s="444" customFormat="1" ht="15.75" thickBot="1">
      <c r="A26" s="689" t="s">
        <v>715</v>
      </c>
      <c r="B26" s="810"/>
      <c r="C26" s="805">
        <f>SUM(C24:C25)</f>
        <v>789.75587700000005</v>
      </c>
      <c r="D26" s="805">
        <f t="shared" ref="D26:R26" si="2">SUM(D24:D25)</f>
        <v>0</v>
      </c>
      <c r="E26" s="805">
        <f t="shared" si="2"/>
        <v>1060.1064739999999</v>
      </c>
      <c r="F26" s="805">
        <f t="shared" si="2"/>
        <v>10.561292393250815</v>
      </c>
      <c r="G26" s="805">
        <f t="shared" si="2"/>
        <v>1195.9362908457279</v>
      </c>
      <c r="H26" s="805">
        <f t="shared" si="2"/>
        <v>0</v>
      </c>
      <c r="I26" s="805">
        <f t="shared" si="2"/>
        <v>0</v>
      </c>
      <c r="J26" s="805">
        <f t="shared" si="2"/>
        <v>0</v>
      </c>
      <c r="K26" s="805">
        <f t="shared" si="2"/>
        <v>93.231016983597016</v>
      </c>
      <c r="L26" s="805">
        <f t="shared" si="2"/>
        <v>0</v>
      </c>
      <c r="M26" s="805">
        <f t="shared" si="2"/>
        <v>0</v>
      </c>
      <c r="N26" s="805">
        <f t="shared" si="2"/>
        <v>0</v>
      </c>
      <c r="O26" s="805">
        <f t="shared" si="2"/>
        <v>0</v>
      </c>
      <c r="P26" s="805">
        <f t="shared" si="2"/>
        <v>0</v>
      </c>
      <c r="Q26" s="805">
        <f t="shared" si="2"/>
        <v>0</v>
      </c>
      <c r="R26" s="805">
        <f t="shared" si="2"/>
        <v>3149.5909512225758</v>
      </c>
      <c r="S26" s="67"/>
    </row>
    <row r="27" spans="1:19" s="444" customFormat="1" ht="17.25" thickTop="1" thickBot="1">
      <c r="A27" s="690" t="s">
        <v>115</v>
      </c>
      <c r="B27" s="797"/>
      <c r="C27" s="691">
        <f ca="1">C22+C16+C26</f>
        <v>51234.623528058364</v>
      </c>
      <c r="D27" s="691">
        <f t="shared" ref="D27:R27" ca="1" si="3">D22+D16+D26</f>
        <v>0</v>
      </c>
      <c r="E27" s="691">
        <f t="shared" ca="1" si="3"/>
        <v>62046.002370071386</v>
      </c>
      <c r="F27" s="691">
        <f t="shared" si="3"/>
        <v>3545.236226880902</v>
      </c>
      <c r="G27" s="691">
        <f t="shared" ca="1" si="3"/>
        <v>40666.36429770934</v>
      </c>
      <c r="H27" s="691">
        <f t="shared" si="3"/>
        <v>38179.70127835255</v>
      </c>
      <c r="I27" s="691">
        <f t="shared" si="3"/>
        <v>9952.7703284744293</v>
      </c>
      <c r="J27" s="691">
        <f t="shared" si="3"/>
        <v>0</v>
      </c>
      <c r="K27" s="691">
        <f t="shared" si="3"/>
        <v>284.42915029188373</v>
      </c>
      <c r="L27" s="691">
        <f t="shared" si="3"/>
        <v>0</v>
      </c>
      <c r="M27" s="691">
        <f t="shared" ca="1" si="3"/>
        <v>0</v>
      </c>
      <c r="N27" s="691">
        <f t="shared" si="3"/>
        <v>2858.5957637933234</v>
      </c>
      <c r="O27" s="691">
        <f t="shared" ca="1" si="3"/>
        <v>8108.1934070296111</v>
      </c>
      <c r="P27" s="691">
        <f t="shared" si="3"/>
        <v>367.83634534841514</v>
      </c>
      <c r="Q27" s="691">
        <f t="shared" si="3"/>
        <v>358.15461646129074</v>
      </c>
      <c r="R27" s="691">
        <f t="shared" ca="1" si="3"/>
        <v>217601.90731247148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3316.9492417459846</v>
      </c>
      <c r="D40" s="681">
        <f ca="1">tertiair!C20</f>
        <v>0</v>
      </c>
      <c r="E40" s="681">
        <f ca="1">tertiair!D20</f>
        <v>4224.7202129672769</v>
      </c>
      <c r="F40" s="681">
        <f>tertiair!E20</f>
        <v>84.514837264282974</v>
      </c>
      <c r="G40" s="681">
        <f ca="1">tertiair!F20</f>
        <v>541.77550954346884</v>
      </c>
      <c r="H40" s="681">
        <f>tertiair!G20</f>
        <v>0</v>
      </c>
      <c r="I40" s="681">
        <f>tertiair!H20</f>
        <v>0</v>
      </c>
      <c r="J40" s="681">
        <f>tertiair!I20</f>
        <v>0</v>
      </c>
      <c r="K40" s="681">
        <f>tertiair!J20</f>
        <v>4.3035667852237827E-3</v>
      </c>
      <c r="L40" s="681">
        <f>tertiair!K20</f>
        <v>0</v>
      </c>
      <c r="M40" s="681">
        <f ca="1">tertiair!L20</f>
        <v>0</v>
      </c>
      <c r="N40" s="681">
        <f>tertiair!M20</f>
        <v>0</v>
      </c>
      <c r="O40" s="681">
        <f ca="1">tertiair!N20</f>
        <v>0</v>
      </c>
      <c r="P40" s="681">
        <f>tertiair!O20</f>
        <v>0</v>
      </c>
      <c r="Q40" s="764">
        <f>tertiair!P20</f>
        <v>0</v>
      </c>
      <c r="R40" s="843">
        <f t="shared" ca="1" si="4"/>
        <v>8167.9641050877981</v>
      </c>
    </row>
    <row r="41" spans="1:18">
      <c r="A41" s="815" t="s">
        <v>219</v>
      </c>
      <c r="B41" s="822"/>
      <c r="C41" s="681">
        <f ca="1">huishoudens!B12</f>
        <v>2996.7467918089687</v>
      </c>
      <c r="D41" s="681">
        <f ca="1">huishoudens!C12</f>
        <v>0</v>
      </c>
      <c r="E41" s="681">
        <f>huishoudens!D12</f>
        <v>5710.312624962</v>
      </c>
      <c r="F41" s="681">
        <f>huishoudens!E12</f>
        <v>458.73052896004646</v>
      </c>
      <c r="G41" s="681">
        <f>huishoudens!F12</f>
        <v>8698.49246425622</v>
      </c>
      <c r="H41" s="681">
        <f>huishoudens!G12</f>
        <v>0</v>
      </c>
      <c r="I41" s="681">
        <f>huishoudens!H12</f>
        <v>0</v>
      </c>
      <c r="J41" s="681">
        <f>huishoudens!I12</f>
        <v>0</v>
      </c>
      <c r="K41" s="681">
        <f>huishoudens!J12</f>
        <v>46.073158196806475</v>
      </c>
      <c r="L41" s="681">
        <f>huishoudens!K12</f>
        <v>0</v>
      </c>
      <c r="M41" s="681">
        <f>huishoudens!L12</f>
        <v>0</v>
      </c>
      <c r="N41" s="681">
        <f>huishoudens!M12</f>
        <v>0</v>
      </c>
      <c r="O41" s="681">
        <f>huishoudens!N12</f>
        <v>0</v>
      </c>
      <c r="P41" s="681">
        <f>huishoudens!O12</f>
        <v>0</v>
      </c>
      <c r="Q41" s="764">
        <f>huishoudens!P12</f>
        <v>0</v>
      </c>
      <c r="R41" s="843">
        <f t="shared" ca="1" si="4"/>
        <v>17910.355568184041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2095.2995872463471</v>
      </c>
      <c r="D43" s="681">
        <f ca="1">industrie!C22</f>
        <v>0</v>
      </c>
      <c r="E43" s="681">
        <f>industrie!D22</f>
        <v>2361.3886197440006</v>
      </c>
      <c r="F43" s="681">
        <f>industrie!E22</f>
        <v>237.28944780775046</v>
      </c>
      <c r="G43" s="681">
        <f>industrie!F22</f>
        <v>1298.3363040328964</v>
      </c>
      <c r="H43" s="681">
        <f>industrie!G22</f>
        <v>0</v>
      </c>
      <c r="I43" s="681">
        <f>industrie!H22</f>
        <v>0</v>
      </c>
      <c r="J43" s="681">
        <f>industrie!I22</f>
        <v>0</v>
      </c>
      <c r="K43" s="681">
        <f>industrie!J22</f>
        <v>21.606677427541808</v>
      </c>
      <c r="L43" s="681">
        <f>industrie!K22</f>
        <v>0</v>
      </c>
      <c r="M43" s="681">
        <f>industrie!L22</f>
        <v>0</v>
      </c>
      <c r="N43" s="681">
        <f>industrie!M22</f>
        <v>0</v>
      </c>
      <c r="O43" s="681">
        <f>industrie!N22</f>
        <v>0</v>
      </c>
      <c r="P43" s="681">
        <f>industrie!O22</f>
        <v>0</v>
      </c>
      <c r="Q43" s="764">
        <f>industrie!P22</f>
        <v>0</v>
      </c>
      <c r="R43" s="842">
        <f t="shared" ca="1" si="4"/>
        <v>6013.9206362585364</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8408.9956208013009</v>
      </c>
      <c r="D46" s="717">
        <f t="shared" ref="D46:Q46" ca="1" si="5">SUM(D39:D45)</f>
        <v>0</v>
      </c>
      <c r="E46" s="717">
        <f t="shared" ca="1" si="5"/>
        <v>12296.421457673277</v>
      </c>
      <c r="F46" s="717">
        <f t="shared" si="5"/>
        <v>780.53481403207991</v>
      </c>
      <c r="G46" s="717">
        <f t="shared" ca="1" si="5"/>
        <v>10538.604277832586</v>
      </c>
      <c r="H46" s="717">
        <f t="shared" si="5"/>
        <v>0</v>
      </c>
      <c r="I46" s="717">
        <f t="shared" si="5"/>
        <v>0</v>
      </c>
      <c r="J46" s="717">
        <f t="shared" si="5"/>
        <v>0</v>
      </c>
      <c r="K46" s="717">
        <f t="shared" si="5"/>
        <v>67.684139191133511</v>
      </c>
      <c r="L46" s="717">
        <f t="shared" si="5"/>
        <v>0</v>
      </c>
      <c r="M46" s="717">
        <f t="shared" ca="1" si="5"/>
        <v>0</v>
      </c>
      <c r="N46" s="717">
        <f t="shared" si="5"/>
        <v>0</v>
      </c>
      <c r="O46" s="717">
        <f t="shared" ca="1" si="5"/>
        <v>0</v>
      </c>
      <c r="P46" s="717">
        <f t="shared" si="5"/>
        <v>0</v>
      </c>
      <c r="Q46" s="717">
        <f t="shared" si="5"/>
        <v>0</v>
      </c>
      <c r="R46" s="717">
        <f ca="1">SUM(R39:R45)</f>
        <v>32092.240309530374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2.4105284800173945</v>
      </c>
      <c r="D49" s="681">
        <f ca="1">transport!C58</f>
        <v>0</v>
      </c>
      <c r="E49" s="681">
        <f>transport!D58</f>
        <v>0</v>
      </c>
      <c r="F49" s="681">
        <f>transport!E58</f>
        <v>0</v>
      </c>
      <c r="G49" s="681">
        <f>transport!F58</f>
        <v>0</v>
      </c>
      <c r="H49" s="681">
        <f>transport!G58</f>
        <v>279.32867778173517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281.73920626175254</v>
      </c>
    </row>
    <row r="50" spans="1:18">
      <c r="A50" s="818" t="s">
        <v>301</v>
      </c>
      <c r="B50" s="828"/>
      <c r="C50" s="687">
        <f ca="1">transport!B18</f>
        <v>9.763328500292257</v>
      </c>
      <c r="D50" s="687">
        <f>transport!C18</f>
        <v>0</v>
      </c>
      <c r="E50" s="687">
        <f>transport!D18</f>
        <v>22.729513333142801</v>
      </c>
      <c r="F50" s="687">
        <f>transport!E18</f>
        <v>21.836396096616944</v>
      </c>
      <c r="G50" s="687">
        <f>transport!F18</f>
        <v>0</v>
      </c>
      <c r="H50" s="687">
        <f>transport!G18</f>
        <v>9914.6515635383967</v>
      </c>
      <c r="I50" s="687">
        <f>transport!H18</f>
        <v>2478.239811790133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12447.220613258582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12.173856980309651</v>
      </c>
      <c r="D52" s="717">
        <f t="shared" ref="D52:Q52" ca="1" si="6">SUM(D48:D51)</f>
        <v>0</v>
      </c>
      <c r="E52" s="717">
        <f t="shared" si="6"/>
        <v>22.729513333142801</v>
      </c>
      <c r="F52" s="717">
        <f t="shared" si="6"/>
        <v>21.836396096616944</v>
      </c>
      <c r="G52" s="717">
        <f t="shared" si="6"/>
        <v>0</v>
      </c>
      <c r="H52" s="717">
        <f t="shared" si="6"/>
        <v>10193.980241320132</v>
      </c>
      <c r="I52" s="717">
        <f t="shared" si="6"/>
        <v>2478.239811790133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12728.959819520334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56.491526097057815</v>
      </c>
      <c r="D54" s="687">
        <f ca="1">+landbouw!C12</f>
        <v>0</v>
      </c>
      <c r="E54" s="687">
        <f>+landbouw!D12</f>
        <v>9.0713905480000001</v>
      </c>
      <c r="F54" s="687">
        <f>+landbouw!E12</f>
        <v>2.397413373267935</v>
      </c>
      <c r="G54" s="687">
        <f>+landbouw!F12</f>
        <v>319.31498965580937</v>
      </c>
      <c r="H54" s="687">
        <f>+landbouw!G12</f>
        <v>0</v>
      </c>
      <c r="I54" s="687">
        <f>+landbouw!H12</f>
        <v>0</v>
      </c>
      <c r="J54" s="687">
        <f>+landbouw!I12</f>
        <v>0</v>
      </c>
      <c r="K54" s="687">
        <f>+landbouw!J12</f>
        <v>33.003780012193339</v>
      </c>
      <c r="L54" s="687">
        <f>+landbouw!K12</f>
        <v>0</v>
      </c>
      <c r="M54" s="687">
        <f>+landbouw!L12</f>
        <v>0</v>
      </c>
      <c r="N54" s="687">
        <f>+landbouw!M12</f>
        <v>0</v>
      </c>
      <c r="O54" s="687">
        <f>+landbouw!N12</f>
        <v>0</v>
      </c>
      <c r="P54" s="687">
        <f>+landbouw!O12</f>
        <v>0</v>
      </c>
      <c r="Q54" s="688">
        <f>+landbouw!P12</f>
        <v>0</v>
      </c>
      <c r="R54" s="716">
        <f ca="1">SUM(C54:Q54)</f>
        <v>420.27909968632844</v>
      </c>
    </row>
    <row r="55" spans="1:18" ht="15" thickBot="1">
      <c r="A55" s="818" t="s">
        <v>714</v>
      </c>
      <c r="B55" s="828"/>
      <c r="C55" s="687">
        <f ca="1">C25*'EF ele_warmte'!B12</f>
        <v>75.348805654739579</v>
      </c>
      <c r="D55" s="687"/>
      <c r="E55" s="687">
        <f>E25*EF_CO2_aardgas</f>
        <v>205.0701172</v>
      </c>
      <c r="F55" s="687"/>
      <c r="G55" s="687"/>
      <c r="H55" s="687"/>
      <c r="I55" s="687"/>
      <c r="J55" s="687"/>
      <c r="K55" s="687"/>
      <c r="L55" s="687"/>
      <c r="M55" s="687"/>
      <c r="N55" s="687"/>
      <c r="O55" s="687"/>
      <c r="P55" s="687"/>
      <c r="Q55" s="688"/>
      <c r="R55" s="716">
        <f ca="1">SUM(C55:Q55)</f>
        <v>280.41892285473955</v>
      </c>
    </row>
    <row r="56" spans="1:18" ht="15.75" thickBot="1">
      <c r="A56" s="816" t="s">
        <v>715</v>
      </c>
      <c r="B56" s="829"/>
      <c r="C56" s="717">
        <f ca="1">SUM(C54:C55)</f>
        <v>131.84033175179741</v>
      </c>
      <c r="D56" s="717">
        <f t="shared" ref="D56:Q56" ca="1" si="7">SUM(D54:D55)</f>
        <v>0</v>
      </c>
      <c r="E56" s="717">
        <f t="shared" si="7"/>
        <v>214.14150774800001</v>
      </c>
      <c r="F56" s="717">
        <f t="shared" si="7"/>
        <v>2.397413373267935</v>
      </c>
      <c r="G56" s="717">
        <f t="shared" si="7"/>
        <v>319.31498965580937</v>
      </c>
      <c r="H56" s="717">
        <f t="shared" si="7"/>
        <v>0</v>
      </c>
      <c r="I56" s="717">
        <f t="shared" si="7"/>
        <v>0</v>
      </c>
      <c r="J56" s="717">
        <f t="shared" si="7"/>
        <v>0</v>
      </c>
      <c r="K56" s="717">
        <f t="shared" si="7"/>
        <v>33.003780012193339</v>
      </c>
      <c r="L56" s="717">
        <f t="shared" si="7"/>
        <v>0</v>
      </c>
      <c r="M56" s="717">
        <f t="shared" si="7"/>
        <v>0</v>
      </c>
      <c r="N56" s="717">
        <f t="shared" si="7"/>
        <v>0</v>
      </c>
      <c r="O56" s="717">
        <f t="shared" si="7"/>
        <v>0</v>
      </c>
      <c r="P56" s="717">
        <f t="shared" si="7"/>
        <v>0</v>
      </c>
      <c r="Q56" s="718">
        <f t="shared" si="7"/>
        <v>0</v>
      </c>
      <c r="R56" s="719">
        <f ca="1">SUM(R54:R55)</f>
        <v>700.69802254106799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8553.009809533407</v>
      </c>
      <c r="D61" s="725">
        <f t="shared" ref="D61:Q61" ca="1" si="8">D46+D52+D56</f>
        <v>0</v>
      </c>
      <c r="E61" s="725">
        <f t="shared" ca="1" si="8"/>
        <v>12533.29247875442</v>
      </c>
      <c r="F61" s="725">
        <f t="shared" si="8"/>
        <v>804.76862350196473</v>
      </c>
      <c r="G61" s="725">
        <f t="shared" ca="1" si="8"/>
        <v>10857.919267488396</v>
      </c>
      <c r="H61" s="725">
        <f t="shared" si="8"/>
        <v>10193.980241320132</v>
      </c>
      <c r="I61" s="725">
        <f t="shared" si="8"/>
        <v>2478.239811790133</v>
      </c>
      <c r="J61" s="725">
        <f t="shared" si="8"/>
        <v>0</v>
      </c>
      <c r="K61" s="725">
        <f t="shared" si="8"/>
        <v>100.68791920332686</v>
      </c>
      <c r="L61" s="725">
        <f t="shared" si="8"/>
        <v>0</v>
      </c>
      <c r="M61" s="725">
        <f t="shared" ca="1" si="8"/>
        <v>0</v>
      </c>
      <c r="N61" s="725">
        <f t="shared" si="8"/>
        <v>0</v>
      </c>
      <c r="O61" s="725">
        <f t="shared" ca="1" si="8"/>
        <v>0</v>
      </c>
      <c r="P61" s="725">
        <f t="shared" si="8"/>
        <v>0</v>
      </c>
      <c r="Q61" s="725">
        <f t="shared" si="8"/>
        <v>0</v>
      </c>
      <c r="R61" s="725">
        <f ca="1">R46+R52+R56</f>
        <v>45521.898151591777</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0.16693808250292691</v>
      </c>
      <c r="D63" s="771">
        <f t="shared" ca="1" si="9"/>
        <v>0</v>
      </c>
      <c r="E63" s="969">
        <f t="shared" ca="1" si="9"/>
        <v>0.20199999999999999</v>
      </c>
      <c r="F63" s="771">
        <f t="shared" si="9"/>
        <v>0.22699999999999998</v>
      </c>
      <c r="G63" s="771">
        <f t="shared" ca="1" si="9"/>
        <v>0.26700000000000007</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12533.221674966033</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12533.221674966033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17951.247234173945</v>
      </c>
      <c r="C4" s="448">
        <f>huishoudens!C8</f>
        <v>0</v>
      </c>
      <c r="D4" s="448">
        <f>huishoudens!D8</f>
        <v>28268.874380999998</v>
      </c>
      <c r="E4" s="448">
        <f>huishoudens!E8</f>
        <v>2020.8393346257553</v>
      </c>
      <c r="F4" s="448">
        <f>huishoudens!F8</f>
        <v>32578.623461633779</v>
      </c>
      <c r="G4" s="448">
        <f>huishoudens!G8</f>
        <v>0</v>
      </c>
      <c r="H4" s="448">
        <f>huishoudens!H8</f>
        <v>0</v>
      </c>
      <c r="I4" s="448">
        <f>huishoudens!I8</f>
        <v>0</v>
      </c>
      <c r="J4" s="448">
        <f>huishoudens!J8</f>
        <v>130.1501643977584</v>
      </c>
      <c r="K4" s="448">
        <f>huishoudens!K8</f>
        <v>0</v>
      </c>
      <c r="L4" s="448">
        <f>huishoudens!L8</f>
        <v>0</v>
      </c>
      <c r="M4" s="448">
        <f>huishoudens!M8</f>
        <v>0</v>
      </c>
      <c r="N4" s="448">
        <f>huishoudens!N8</f>
        <v>5941.4620895384314</v>
      </c>
      <c r="O4" s="448">
        <f>huishoudens!O8</f>
        <v>353.14456305089169</v>
      </c>
      <c r="P4" s="449">
        <f>huishoudens!P8</f>
        <v>358.15461646129074</v>
      </c>
      <c r="Q4" s="450">
        <f>SUM(B4:P4)</f>
        <v>87602.495844881851</v>
      </c>
    </row>
    <row r="5" spans="1:17">
      <c r="A5" s="447" t="s">
        <v>155</v>
      </c>
      <c r="B5" s="448">
        <f ca="1">tertiair!B16</f>
        <v>19215.924332000002</v>
      </c>
      <c r="C5" s="448">
        <f ca="1">tertiair!C16</f>
        <v>0</v>
      </c>
      <c r="D5" s="448">
        <f ca="1">tertiair!D16</f>
        <v>20914.456499838005</v>
      </c>
      <c r="E5" s="448">
        <f>tertiair!E16</f>
        <v>372.31205843296465</v>
      </c>
      <c r="F5" s="448">
        <f ca="1">tertiair!F16</f>
        <v>2029.1217585897707</v>
      </c>
      <c r="G5" s="448">
        <f>tertiair!G16</f>
        <v>0</v>
      </c>
      <c r="H5" s="448">
        <f>tertiair!H16</f>
        <v>0</v>
      </c>
      <c r="I5" s="448">
        <f>tertiair!I16</f>
        <v>0</v>
      </c>
      <c r="J5" s="448">
        <f>tertiair!J16</f>
        <v>1.2156968319841196E-2</v>
      </c>
      <c r="K5" s="448">
        <f>tertiair!K16</f>
        <v>0</v>
      </c>
      <c r="L5" s="448">
        <f ca="1">tertiair!L16</f>
        <v>0</v>
      </c>
      <c r="M5" s="448">
        <f>tertiair!M16</f>
        <v>0</v>
      </c>
      <c r="N5" s="448">
        <f ca="1">tertiair!N16</f>
        <v>485.81531465755779</v>
      </c>
      <c r="O5" s="448">
        <f>tertiair!O16</f>
        <v>14.691782297523464</v>
      </c>
      <c r="P5" s="449">
        <f>tertiair!P16</f>
        <v>0</v>
      </c>
      <c r="Q5" s="447">
        <f t="shared" ref="Q5:Q14" ca="1" si="0">SUM(B5:P5)</f>
        <v>43032.333902784136</v>
      </c>
    </row>
    <row r="6" spans="1:17">
      <c r="A6" s="447" t="s">
        <v>193</v>
      </c>
      <c r="B6" s="448">
        <f>'openbare verlichting'!B8</f>
        <v>653.41399999999999</v>
      </c>
      <c r="C6" s="448"/>
      <c r="D6" s="448"/>
      <c r="E6" s="448"/>
      <c r="F6" s="448"/>
      <c r="G6" s="448"/>
      <c r="H6" s="448"/>
      <c r="I6" s="448"/>
      <c r="J6" s="448"/>
      <c r="K6" s="448"/>
      <c r="L6" s="448"/>
      <c r="M6" s="448"/>
      <c r="N6" s="448"/>
      <c r="O6" s="448"/>
      <c r="P6" s="449"/>
      <c r="Q6" s="447">
        <f t="shared" si="0"/>
        <v>653.41399999999999</v>
      </c>
    </row>
    <row r="7" spans="1:17">
      <c r="A7" s="447" t="s">
        <v>111</v>
      </c>
      <c r="B7" s="448">
        <f>landbouw!B8</f>
        <v>338.398077</v>
      </c>
      <c r="C7" s="448">
        <f>landbouw!C8</f>
        <v>0</v>
      </c>
      <c r="D7" s="448">
        <f>landbouw!D8</f>
        <v>44.907874</v>
      </c>
      <c r="E7" s="448">
        <f>landbouw!E8</f>
        <v>10.561292393250815</v>
      </c>
      <c r="F7" s="448">
        <f>landbouw!F8</f>
        <v>1195.9362908457279</v>
      </c>
      <c r="G7" s="448">
        <f>landbouw!G8</f>
        <v>0</v>
      </c>
      <c r="H7" s="448">
        <f>landbouw!H8</f>
        <v>0</v>
      </c>
      <c r="I7" s="448">
        <f>landbouw!I8</f>
        <v>0</v>
      </c>
      <c r="J7" s="448">
        <f>landbouw!J8</f>
        <v>93.231016983597016</v>
      </c>
      <c r="K7" s="448">
        <f>landbouw!K8</f>
        <v>0</v>
      </c>
      <c r="L7" s="448">
        <f>landbouw!L8</f>
        <v>0</v>
      </c>
      <c r="M7" s="448">
        <f>landbouw!M8</f>
        <v>0</v>
      </c>
      <c r="N7" s="448">
        <f>landbouw!N8</f>
        <v>0</v>
      </c>
      <c r="O7" s="448">
        <f>landbouw!O8</f>
        <v>0</v>
      </c>
      <c r="P7" s="449">
        <f>landbouw!P8</f>
        <v>0</v>
      </c>
      <c r="Q7" s="447">
        <f t="shared" si="0"/>
        <v>1683.0345512225758</v>
      </c>
    </row>
    <row r="8" spans="1:17">
      <c r="A8" s="447" t="s">
        <v>618</v>
      </c>
      <c r="B8" s="448">
        <f>industrie!B18</f>
        <v>12551.3577</v>
      </c>
      <c r="C8" s="448">
        <f>industrie!C18</f>
        <v>0</v>
      </c>
      <c r="D8" s="448">
        <f>industrie!D18</f>
        <v>11690.042672000001</v>
      </c>
      <c r="E8" s="448">
        <f>industrie!E18</f>
        <v>1045.327963910795</v>
      </c>
      <c r="F8" s="448">
        <f>industrie!F18</f>
        <v>4862.6827866400608</v>
      </c>
      <c r="G8" s="448">
        <f>industrie!G18</f>
        <v>0</v>
      </c>
      <c r="H8" s="448">
        <f>industrie!H18</f>
        <v>0</v>
      </c>
      <c r="I8" s="448">
        <f>industrie!I18</f>
        <v>0</v>
      </c>
      <c r="J8" s="448">
        <f>industrie!J18</f>
        <v>61.035811942208504</v>
      </c>
      <c r="K8" s="448">
        <f>industrie!K18</f>
        <v>0</v>
      </c>
      <c r="L8" s="448">
        <f>industrie!L18</f>
        <v>0</v>
      </c>
      <c r="M8" s="448">
        <f>industrie!M18</f>
        <v>0</v>
      </c>
      <c r="N8" s="448">
        <f>industrie!N18</f>
        <v>1680.9160028336219</v>
      </c>
      <c r="O8" s="448">
        <f>industrie!O18</f>
        <v>0</v>
      </c>
      <c r="P8" s="449">
        <f>industrie!P18</f>
        <v>0</v>
      </c>
      <c r="Q8" s="447">
        <f t="shared" si="0"/>
        <v>31891.362937326689</v>
      </c>
    </row>
    <row r="9" spans="1:17" s="453" customFormat="1">
      <c r="A9" s="451" t="s">
        <v>544</v>
      </c>
      <c r="B9" s="452">
        <f>transport!B14</f>
        <v>58.484728912116729</v>
      </c>
      <c r="C9" s="452">
        <f>transport!C14</f>
        <v>0</v>
      </c>
      <c r="D9" s="452">
        <f>transport!D14</f>
        <v>112.5223432333802</v>
      </c>
      <c r="E9" s="452">
        <f>transport!E14</f>
        <v>96.195577518136318</v>
      </c>
      <c r="F9" s="452">
        <f>transport!F14</f>
        <v>0</v>
      </c>
      <c r="G9" s="452">
        <f>transport!G14</f>
        <v>37133.526455199986</v>
      </c>
      <c r="H9" s="452">
        <f>transport!H14</f>
        <v>9952.7703284744293</v>
      </c>
      <c r="I9" s="452">
        <f>transport!I14</f>
        <v>0</v>
      </c>
      <c r="J9" s="452">
        <f>transport!J14</f>
        <v>0</v>
      </c>
      <c r="K9" s="452">
        <f>transport!K14</f>
        <v>0</v>
      </c>
      <c r="L9" s="452">
        <f>transport!L14</f>
        <v>0</v>
      </c>
      <c r="M9" s="452">
        <f>transport!M14</f>
        <v>2799.421000286095</v>
      </c>
      <c r="N9" s="452">
        <f>transport!N14</f>
        <v>0</v>
      </c>
      <c r="O9" s="452">
        <f>transport!O14</f>
        <v>0</v>
      </c>
      <c r="P9" s="452">
        <f>transport!P14</f>
        <v>0</v>
      </c>
      <c r="Q9" s="451">
        <f>SUM(B9:P9)</f>
        <v>50152.920433624138</v>
      </c>
    </row>
    <row r="10" spans="1:17">
      <c r="A10" s="447" t="s">
        <v>534</v>
      </c>
      <c r="B10" s="448">
        <f>transport!B54</f>
        <v>14.439655972298178</v>
      </c>
      <c r="C10" s="448">
        <f>transport!C54</f>
        <v>0</v>
      </c>
      <c r="D10" s="448">
        <f>transport!D54</f>
        <v>0</v>
      </c>
      <c r="E10" s="448">
        <f>transport!E54</f>
        <v>0</v>
      </c>
      <c r="F10" s="448">
        <f>transport!F54</f>
        <v>0</v>
      </c>
      <c r="G10" s="448">
        <f>transport!G54</f>
        <v>1046.1748231525662</v>
      </c>
      <c r="H10" s="448">
        <f>transport!H54</f>
        <v>0</v>
      </c>
      <c r="I10" s="448">
        <f>transport!I54</f>
        <v>0</v>
      </c>
      <c r="J10" s="448">
        <f>transport!J54</f>
        <v>0</v>
      </c>
      <c r="K10" s="448">
        <f>transport!K54</f>
        <v>0</v>
      </c>
      <c r="L10" s="448">
        <f>transport!L54</f>
        <v>0</v>
      </c>
      <c r="M10" s="448">
        <f>transport!M54</f>
        <v>59.17476350722815</v>
      </c>
      <c r="N10" s="448">
        <f>transport!N54</f>
        <v>0</v>
      </c>
      <c r="O10" s="448">
        <f>transport!O54</f>
        <v>0</v>
      </c>
      <c r="P10" s="449">
        <f>transport!P54</f>
        <v>0</v>
      </c>
      <c r="Q10" s="447">
        <f t="shared" si="0"/>
        <v>1119.7892426320925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451.3578</v>
      </c>
      <c r="C14" s="455"/>
      <c r="D14" s="455">
        <f>'SEAP template'!E25</f>
        <v>1015.1985999999999</v>
      </c>
      <c r="E14" s="455"/>
      <c r="F14" s="455"/>
      <c r="G14" s="455"/>
      <c r="H14" s="455"/>
      <c r="I14" s="455"/>
      <c r="J14" s="455"/>
      <c r="K14" s="455"/>
      <c r="L14" s="455"/>
      <c r="M14" s="455"/>
      <c r="N14" s="455"/>
      <c r="O14" s="455"/>
      <c r="P14" s="456"/>
      <c r="Q14" s="447">
        <f t="shared" si="0"/>
        <v>1466.5563999999999</v>
      </c>
    </row>
    <row r="15" spans="1:17" s="459" customFormat="1">
      <c r="A15" s="457" t="s">
        <v>538</v>
      </c>
      <c r="B15" s="458">
        <f ca="1">SUM(B4:B14)</f>
        <v>51234.62352805835</v>
      </c>
      <c r="C15" s="458">
        <f t="shared" ref="C15:Q15" ca="1" si="1">SUM(C4:C14)</f>
        <v>0</v>
      </c>
      <c r="D15" s="458">
        <f t="shared" ca="1" si="1"/>
        <v>62046.002370071386</v>
      </c>
      <c r="E15" s="458">
        <f t="shared" si="1"/>
        <v>3545.236226880902</v>
      </c>
      <c r="F15" s="458">
        <f t="shared" ca="1" si="1"/>
        <v>40666.36429770934</v>
      </c>
      <c r="G15" s="458">
        <f t="shared" si="1"/>
        <v>38179.70127835255</v>
      </c>
      <c r="H15" s="458">
        <f t="shared" si="1"/>
        <v>9952.7703284744293</v>
      </c>
      <c r="I15" s="458">
        <f t="shared" si="1"/>
        <v>0</v>
      </c>
      <c r="J15" s="458">
        <f t="shared" si="1"/>
        <v>284.42915029188373</v>
      </c>
      <c r="K15" s="458">
        <f t="shared" si="1"/>
        <v>0</v>
      </c>
      <c r="L15" s="458">
        <f t="shared" ca="1" si="1"/>
        <v>0</v>
      </c>
      <c r="M15" s="458">
        <f t="shared" si="1"/>
        <v>2858.5957637933234</v>
      </c>
      <c r="N15" s="458">
        <f t="shared" ca="1" si="1"/>
        <v>8108.1934070296111</v>
      </c>
      <c r="O15" s="458">
        <f t="shared" si="1"/>
        <v>367.83634534841514</v>
      </c>
      <c r="P15" s="458">
        <f t="shared" si="1"/>
        <v>358.15461646129074</v>
      </c>
      <c r="Q15" s="458">
        <f t="shared" ca="1" si="1"/>
        <v>217601.90731247148</v>
      </c>
    </row>
    <row r="17" spans="1:17">
      <c r="A17" s="460" t="s">
        <v>539</v>
      </c>
      <c r="B17" s="776">
        <f ca="1">huishoudens!B10</f>
        <v>0.16693808250292691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2996.7467918089687</v>
      </c>
      <c r="C22" s="448">
        <f t="shared" ref="C22:C32" ca="1" si="3">C4*$C$17</f>
        <v>0</v>
      </c>
      <c r="D22" s="448">
        <f t="shared" ref="D22:D32" si="4">D4*$D$17</f>
        <v>5710.312624962</v>
      </c>
      <c r="E22" s="448">
        <f t="shared" ref="E22:E32" si="5">E4*$E$17</f>
        <v>458.73052896004646</v>
      </c>
      <c r="F22" s="448">
        <f t="shared" ref="F22:F32" si="6">F4*$F$17</f>
        <v>8698.49246425622</v>
      </c>
      <c r="G22" s="448">
        <f t="shared" ref="G22:G32" si="7">G4*$G$17</f>
        <v>0</v>
      </c>
      <c r="H22" s="448">
        <f t="shared" ref="H22:H32" si="8">H4*$H$17</f>
        <v>0</v>
      </c>
      <c r="I22" s="448">
        <f t="shared" ref="I22:I32" si="9">I4*$I$17</f>
        <v>0</v>
      </c>
      <c r="J22" s="448">
        <f t="shared" ref="J22:J32" si="10">J4*$J$17</f>
        <v>46.073158196806475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17910.355568184041</v>
      </c>
    </row>
    <row r="23" spans="1:17">
      <c r="A23" s="447" t="s">
        <v>155</v>
      </c>
      <c r="B23" s="448">
        <f t="shared" ca="1" si="2"/>
        <v>3207.8695615054171</v>
      </c>
      <c r="C23" s="448">
        <f t="shared" ca="1" si="3"/>
        <v>0</v>
      </c>
      <c r="D23" s="448">
        <f t="shared" ca="1" si="4"/>
        <v>4224.7202129672769</v>
      </c>
      <c r="E23" s="448">
        <f t="shared" si="5"/>
        <v>84.514837264282974</v>
      </c>
      <c r="F23" s="448">
        <f t="shared" ca="1" si="6"/>
        <v>541.77550954346884</v>
      </c>
      <c r="G23" s="448">
        <f t="shared" si="7"/>
        <v>0</v>
      </c>
      <c r="H23" s="448">
        <f t="shared" si="8"/>
        <v>0</v>
      </c>
      <c r="I23" s="448">
        <f t="shared" si="9"/>
        <v>0</v>
      </c>
      <c r="J23" s="448">
        <f t="shared" si="10"/>
        <v>4.3035667852237827E-3</v>
      </c>
      <c r="K23" s="448">
        <f t="shared" si="11"/>
        <v>0</v>
      </c>
      <c r="L23" s="448">
        <f t="shared" ca="1" si="12"/>
        <v>0</v>
      </c>
      <c r="M23" s="448">
        <f t="shared" si="13"/>
        <v>0</v>
      </c>
      <c r="N23" s="448">
        <f t="shared" ca="1" si="14"/>
        <v>0</v>
      </c>
      <c r="O23" s="448">
        <f t="shared" si="15"/>
        <v>0</v>
      </c>
      <c r="P23" s="449">
        <f t="shared" si="16"/>
        <v>0</v>
      </c>
      <c r="Q23" s="447">
        <f t="shared" ref="Q23:Q31" ca="1" si="17">SUM(B23:P23)</f>
        <v>8058.8844248472305</v>
      </c>
    </row>
    <row r="24" spans="1:17">
      <c r="A24" s="447" t="s">
        <v>193</v>
      </c>
      <c r="B24" s="448">
        <f t="shared" ca="1" si="2"/>
        <v>109.07968024056748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109.07968024056748</v>
      </c>
    </row>
    <row r="25" spans="1:17">
      <c r="A25" s="447" t="s">
        <v>111</v>
      </c>
      <c r="B25" s="448">
        <f t="shared" ca="1" si="2"/>
        <v>56.491526097057815</v>
      </c>
      <c r="C25" s="448">
        <f t="shared" ca="1" si="3"/>
        <v>0</v>
      </c>
      <c r="D25" s="448">
        <f t="shared" si="4"/>
        <v>9.0713905480000001</v>
      </c>
      <c r="E25" s="448">
        <f t="shared" si="5"/>
        <v>2.397413373267935</v>
      </c>
      <c r="F25" s="448">
        <f t="shared" si="6"/>
        <v>319.31498965580937</v>
      </c>
      <c r="G25" s="448">
        <f t="shared" si="7"/>
        <v>0</v>
      </c>
      <c r="H25" s="448">
        <f t="shared" si="8"/>
        <v>0</v>
      </c>
      <c r="I25" s="448">
        <f t="shared" si="9"/>
        <v>0</v>
      </c>
      <c r="J25" s="448">
        <f t="shared" si="10"/>
        <v>33.003780012193339</v>
      </c>
      <c r="K25" s="448">
        <f t="shared" si="11"/>
        <v>0</v>
      </c>
      <c r="L25" s="448">
        <f t="shared" si="12"/>
        <v>0</v>
      </c>
      <c r="M25" s="448">
        <f t="shared" si="13"/>
        <v>0</v>
      </c>
      <c r="N25" s="448">
        <f t="shared" si="14"/>
        <v>0</v>
      </c>
      <c r="O25" s="448">
        <f t="shared" si="15"/>
        <v>0</v>
      </c>
      <c r="P25" s="449">
        <f t="shared" si="16"/>
        <v>0</v>
      </c>
      <c r="Q25" s="447">
        <f t="shared" ca="1" si="17"/>
        <v>420.27909968632844</v>
      </c>
    </row>
    <row r="26" spans="1:17">
      <c r="A26" s="447" t="s">
        <v>618</v>
      </c>
      <c r="B26" s="448">
        <f t="shared" ca="1" si="2"/>
        <v>2095.2995872463471</v>
      </c>
      <c r="C26" s="448">
        <f t="shared" ca="1" si="3"/>
        <v>0</v>
      </c>
      <c r="D26" s="448">
        <f t="shared" si="4"/>
        <v>2361.3886197440006</v>
      </c>
      <c r="E26" s="448">
        <f t="shared" si="5"/>
        <v>237.28944780775046</v>
      </c>
      <c r="F26" s="448">
        <f t="shared" si="6"/>
        <v>1298.3363040328964</v>
      </c>
      <c r="G26" s="448">
        <f t="shared" si="7"/>
        <v>0</v>
      </c>
      <c r="H26" s="448">
        <f t="shared" si="8"/>
        <v>0</v>
      </c>
      <c r="I26" s="448">
        <f t="shared" si="9"/>
        <v>0</v>
      </c>
      <c r="J26" s="448">
        <f t="shared" si="10"/>
        <v>21.606677427541808</v>
      </c>
      <c r="K26" s="448">
        <f t="shared" si="11"/>
        <v>0</v>
      </c>
      <c r="L26" s="448">
        <f t="shared" si="12"/>
        <v>0</v>
      </c>
      <c r="M26" s="448">
        <f t="shared" si="13"/>
        <v>0</v>
      </c>
      <c r="N26" s="448">
        <f t="shared" si="14"/>
        <v>0</v>
      </c>
      <c r="O26" s="448">
        <f t="shared" si="15"/>
        <v>0</v>
      </c>
      <c r="P26" s="449">
        <f t="shared" si="16"/>
        <v>0</v>
      </c>
      <c r="Q26" s="447">
        <f t="shared" ca="1" si="17"/>
        <v>6013.9206362585364</v>
      </c>
    </row>
    <row r="27" spans="1:17" s="453" customFormat="1">
      <c r="A27" s="451" t="s">
        <v>544</v>
      </c>
      <c r="B27" s="770">
        <f t="shared" ca="1" si="2"/>
        <v>9.763328500292257</v>
      </c>
      <c r="C27" s="452">
        <f t="shared" ca="1" si="3"/>
        <v>0</v>
      </c>
      <c r="D27" s="452">
        <f t="shared" si="4"/>
        <v>22.729513333142801</v>
      </c>
      <c r="E27" s="452">
        <f t="shared" si="5"/>
        <v>21.836396096616944</v>
      </c>
      <c r="F27" s="452">
        <f t="shared" si="6"/>
        <v>0</v>
      </c>
      <c r="G27" s="452">
        <f t="shared" si="7"/>
        <v>9914.6515635383967</v>
      </c>
      <c r="H27" s="452">
        <f t="shared" si="8"/>
        <v>2478.239811790133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12447.220613258582</v>
      </c>
    </row>
    <row r="28" spans="1:17" ht="16.5" customHeight="1">
      <c r="A28" s="447" t="s">
        <v>534</v>
      </c>
      <c r="B28" s="448">
        <f t="shared" ca="1" si="2"/>
        <v>2.4105284800173945</v>
      </c>
      <c r="C28" s="448">
        <f t="shared" ca="1" si="3"/>
        <v>0</v>
      </c>
      <c r="D28" s="448">
        <f t="shared" si="4"/>
        <v>0</v>
      </c>
      <c r="E28" s="448">
        <f t="shared" si="5"/>
        <v>0</v>
      </c>
      <c r="F28" s="448">
        <f t="shared" si="6"/>
        <v>0</v>
      </c>
      <c r="G28" s="448">
        <f t="shared" si="7"/>
        <v>279.32867778173517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281.73920626175254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75.348805654739579</v>
      </c>
      <c r="C32" s="448">
        <f t="shared" ca="1" si="3"/>
        <v>0</v>
      </c>
      <c r="D32" s="448">
        <f t="shared" si="4"/>
        <v>205.0701172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280.41892285473955</v>
      </c>
    </row>
    <row r="33" spans="1:17" s="459" customFormat="1">
      <c r="A33" s="457" t="s">
        <v>538</v>
      </c>
      <c r="B33" s="458">
        <f ca="1">SUM(B22:B32)</f>
        <v>8553.009809533407</v>
      </c>
      <c r="C33" s="458">
        <f t="shared" ref="C33:Q33" ca="1" si="19">SUM(C22:C32)</f>
        <v>0</v>
      </c>
      <c r="D33" s="458">
        <f t="shared" ca="1" si="19"/>
        <v>12533.292478754422</v>
      </c>
      <c r="E33" s="458">
        <f t="shared" si="19"/>
        <v>804.76862350196473</v>
      </c>
      <c r="F33" s="458">
        <f t="shared" ca="1" si="19"/>
        <v>10857.919267488396</v>
      </c>
      <c r="G33" s="458">
        <f t="shared" si="19"/>
        <v>10193.980241320132</v>
      </c>
      <c r="H33" s="458">
        <f t="shared" si="19"/>
        <v>2478.239811790133</v>
      </c>
      <c r="I33" s="458">
        <f t="shared" si="19"/>
        <v>0</v>
      </c>
      <c r="J33" s="458">
        <f t="shared" si="19"/>
        <v>100.68791920332684</v>
      </c>
      <c r="K33" s="458">
        <f t="shared" si="19"/>
        <v>0</v>
      </c>
      <c r="L33" s="458">
        <f t="shared" ca="1" si="19"/>
        <v>0</v>
      </c>
      <c r="M33" s="458">
        <f t="shared" si="19"/>
        <v>0</v>
      </c>
      <c r="N33" s="458">
        <f t="shared" ca="1" si="19"/>
        <v>0</v>
      </c>
      <c r="O33" s="458">
        <f t="shared" si="19"/>
        <v>0</v>
      </c>
      <c r="P33" s="458">
        <f t="shared" si="19"/>
        <v>0</v>
      </c>
      <c r="Q33" s="458">
        <f t="shared" ca="1" si="19"/>
        <v>45521.898151591777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12533.221674966033</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12533.221674966033</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0.16693808250292691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0.16693808250292691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0.16693808250292691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0.16693808250292691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4046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519.02</v>
      </c>
      <c r="C14" s="326"/>
      <c r="D14" s="326"/>
      <c r="E14" s="326"/>
      <c r="F14" s="326"/>
    </row>
    <row r="15" spans="1:6">
      <c r="A15" s="1298" t="s">
        <v>183</v>
      </c>
      <c r="B15" s="1299">
        <v>4</v>
      </c>
      <c r="C15" s="326"/>
      <c r="D15" s="326"/>
      <c r="E15" s="326"/>
      <c r="F15" s="326"/>
    </row>
    <row r="16" spans="1:6">
      <c r="A16" s="1298" t="s">
        <v>6</v>
      </c>
      <c r="B16" s="1299">
        <v>262</v>
      </c>
      <c r="C16" s="326"/>
      <c r="D16" s="326"/>
      <c r="E16" s="326"/>
      <c r="F16" s="326"/>
    </row>
    <row r="17" spans="1:6">
      <c r="A17" s="1298" t="s">
        <v>7</v>
      </c>
      <c r="B17" s="1299">
        <v>17</v>
      </c>
      <c r="C17" s="326"/>
      <c r="D17" s="326"/>
      <c r="E17" s="326"/>
      <c r="F17" s="326"/>
    </row>
    <row r="18" spans="1:6">
      <c r="A18" s="1298" t="s">
        <v>8</v>
      </c>
      <c r="B18" s="1299">
        <v>91</v>
      </c>
      <c r="C18" s="326"/>
      <c r="D18" s="326"/>
      <c r="E18" s="326"/>
      <c r="F18" s="326"/>
    </row>
    <row r="19" spans="1:6">
      <c r="A19" s="1298" t="s">
        <v>9</v>
      </c>
      <c r="B19" s="1299">
        <v>97</v>
      </c>
      <c r="C19" s="326"/>
      <c r="D19" s="326"/>
      <c r="E19" s="326"/>
      <c r="F19" s="326"/>
    </row>
    <row r="20" spans="1:6">
      <c r="A20" s="1298" t="s">
        <v>10</v>
      </c>
      <c r="B20" s="1299">
        <v>82</v>
      </c>
      <c r="C20" s="326"/>
      <c r="D20" s="326"/>
      <c r="E20" s="326"/>
      <c r="F20" s="326"/>
    </row>
    <row r="21" spans="1:6">
      <c r="A21" s="1298" t="s">
        <v>11</v>
      </c>
      <c r="B21" s="1299">
        <v>198</v>
      </c>
      <c r="C21" s="326"/>
      <c r="D21" s="326"/>
      <c r="E21" s="326"/>
      <c r="F21" s="326"/>
    </row>
    <row r="22" spans="1:6">
      <c r="A22" s="1298" t="s">
        <v>12</v>
      </c>
      <c r="B22" s="1299">
        <v>465</v>
      </c>
      <c r="C22" s="326"/>
      <c r="D22" s="326"/>
      <c r="E22" s="326"/>
      <c r="F22" s="326"/>
    </row>
    <row r="23" spans="1:6">
      <c r="A23" s="1298" t="s">
        <v>13</v>
      </c>
      <c r="B23" s="1299">
        <v>11</v>
      </c>
      <c r="C23" s="326"/>
      <c r="D23" s="326"/>
      <c r="E23" s="326"/>
      <c r="F23" s="326"/>
    </row>
    <row r="24" spans="1:6">
      <c r="A24" s="1298" t="s">
        <v>14</v>
      </c>
      <c r="B24" s="1299">
        <v>1</v>
      </c>
      <c r="C24" s="326"/>
      <c r="D24" s="326"/>
      <c r="E24" s="326"/>
      <c r="F24" s="326"/>
    </row>
    <row r="25" spans="1:6">
      <c r="A25" s="1298" t="s">
        <v>15</v>
      </c>
      <c r="B25" s="1299">
        <v>67</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31100</v>
      </c>
      <c r="C28" s="332"/>
      <c r="D28" s="332"/>
      <c r="E28" s="332"/>
      <c r="F28" s="332"/>
    </row>
    <row r="29" spans="1:6">
      <c r="A29" s="1300" t="s">
        <v>695</v>
      </c>
      <c r="B29" s="1301">
        <v>101</v>
      </c>
      <c r="C29" s="332"/>
      <c r="D29" s="332"/>
      <c r="E29" s="332"/>
      <c r="F29" s="332"/>
    </row>
    <row r="30" spans="1:6">
      <c r="A30" s="1293" t="s">
        <v>696</v>
      </c>
      <c r="B30" s="1302">
        <v>16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2348</v>
      </c>
    </row>
    <row r="39" spans="1:6">
      <c r="A39" s="1298" t="s">
        <v>29</v>
      </c>
      <c r="B39" s="1298" t="s">
        <v>30</v>
      </c>
      <c r="C39" s="1299">
        <v>1757</v>
      </c>
      <c r="D39" s="1299">
        <v>31340215.5</v>
      </c>
      <c r="E39" s="1299">
        <v>3997</v>
      </c>
      <c r="F39" s="1299">
        <v>13200449.550000001</v>
      </c>
    </row>
    <row r="40" spans="1:6">
      <c r="A40" s="1298" t="s">
        <v>29</v>
      </c>
      <c r="B40" s="1298" t="s">
        <v>28</v>
      </c>
      <c r="C40" s="1299">
        <v>0</v>
      </c>
      <c r="D40" s="1299">
        <v>0</v>
      </c>
      <c r="E40" s="1299">
        <v>0</v>
      </c>
      <c r="F40" s="1299">
        <v>0</v>
      </c>
    </row>
    <row r="41" spans="1:6">
      <c r="A41" s="1298" t="s">
        <v>31</v>
      </c>
      <c r="B41" s="1298" t="s">
        <v>32</v>
      </c>
      <c r="C41" s="1299">
        <v>59</v>
      </c>
      <c r="D41" s="1299">
        <v>2886992</v>
      </c>
      <c r="E41" s="1299">
        <v>104</v>
      </c>
      <c r="F41" s="1299">
        <v>2769224.7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30</v>
      </c>
      <c r="D44" s="1299">
        <v>4784068</v>
      </c>
      <c r="E44" s="1299">
        <v>47</v>
      </c>
      <c r="F44" s="1299">
        <v>3168914</v>
      </c>
    </row>
    <row r="45" spans="1:6">
      <c r="A45" s="1298" t="s">
        <v>31</v>
      </c>
      <c r="B45" s="1298" t="s">
        <v>36</v>
      </c>
      <c r="C45" s="1299">
        <v>3</v>
      </c>
      <c r="D45" s="1299">
        <v>4446588</v>
      </c>
      <c r="E45" s="1299">
        <v>4</v>
      </c>
      <c r="F45" s="1299">
        <v>5751987</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512789</v>
      </c>
    </row>
    <row r="48" spans="1:6">
      <c r="A48" s="1298" t="s">
        <v>31</v>
      </c>
      <c r="B48" s="1298" t="s">
        <v>28</v>
      </c>
      <c r="C48" s="1299">
        <v>0</v>
      </c>
      <c r="D48" s="1299">
        <v>0</v>
      </c>
      <c r="E48" s="1299">
        <v>0</v>
      </c>
      <c r="F48" s="1299">
        <v>0</v>
      </c>
    </row>
    <row r="49" spans="1:6">
      <c r="A49" s="1298" t="s">
        <v>31</v>
      </c>
      <c r="B49" s="1298" t="s">
        <v>39</v>
      </c>
      <c r="C49" s="1299">
        <v>3</v>
      </c>
      <c r="D49" s="1299">
        <v>842488</v>
      </c>
      <c r="E49" s="1299">
        <v>3</v>
      </c>
      <c r="F49" s="1299">
        <v>233045</v>
      </c>
    </row>
    <row r="50" spans="1:6">
      <c r="A50" s="1298" t="s">
        <v>31</v>
      </c>
      <c r="B50" s="1298" t="s">
        <v>40</v>
      </c>
      <c r="C50" s="1299">
        <v>0</v>
      </c>
      <c r="D50" s="1299">
        <v>0</v>
      </c>
      <c r="E50" s="1299">
        <v>5</v>
      </c>
      <c r="F50" s="1299">
        <v>115398</v>
      </c>
    </row>
    <row r="51" spans="1:6">
      <c r="A51" s="1298" t="s">
        <v>41</v>
      </c>
      <c r="B51" s="1298" t="s">
        <v>42</v>
      </c>
      <c r="C51" s="1299">
        <v>4</v>
      </c>
      <c r="D51" s="1299">
        <v>49787</v>
      </c>
      <c r="E51" s="1299">
        <v>20</v>
      </c>
      <c r="F51" s="1299">
        <v>338398.07699999999</v>
      </c>
    </row>
    <row r="52" spans="1:6">
      <c r="A52" s="1298" t="s">
        <v>41</v>
      </c>
      <c r="B52" s="1298" t="s">
        <v>28</v>
      </c>
      <c r="C52" s="1299">
        <v>0</v>
      </c>
      <c r="D52" s="1299">
        <v>0</v>
      </c>
      <c r="E52" s="1299">
        <v>0</v>
      </c>
      <c r="F52" s="1299">
        <v>0</v>
      </c>
    </row>
    <row r="53" spans="1:6">
      <c r="A53" s="1298" t="s">
        <v>43</v>
      </c>
      <c r="B53" s="1298" t="s">
        <v>44</v>
      </c>
      <c r="C53" s="1299">
        <v>25</v>
      </c>
      <c r="D53" s="1299">
        <v>1015198.6</v>
      </c>
      <c r="E53" s="1299">
        <v>63</v>
      </c>
      <c r="F53" s="1299">
        <v>451357.8</v>
      </c>
    </row>
    <row r="54" spans="1:6">
      <c r="A54" s="1298" t="s">
        <v>45</v>
      </c>
      <c r="B54" s="1298" t="s">
        <v>46</v>
      </c>
      <c r="C54" s="1299">
        <v>0</v>
      </c>
      <c r="D54" s="1299">
        <v>0</v>
      </c>
      <c r="E54" s="1299">
        <v>3</v>
      </c>
      <c r="F54" s="1299">
        <v>653414</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19</v>
      </c>
      <c r="D57" s="1299">
        <v>1896243</v>
      </c>
      <c r="E57" s="1299">
        <v>52</v>
      </c>
      <c r="F57" s="1299">
        <v>712472</v>
      </c>
    </row>
    <row r="58" spans="1:6">
      <c r="A58" s="1298" t="s">
        <v>48</v>
      </c>
      <c r="B58" s="1298" t="s">
        <v>50</v>
      </c>
      <c r="C58" s="1299">
        <v>14</v>
      </c>
      <c r="D58" s="1299">
        <v>1096933.05</v>
      </c>
      <c r="E58" s="1299">
        <v>25</v>
      </c>
      <c r="F58" s="1299">
        <v>583312</v>
      </c>
    </row>
    <row r="59" spans="1:6">
      <c r="A59" s="1298" t="s">
        <v>48</v>
      </c>
      <c r="B59" s="1298" t="s">
        <v>51</v>
      </c>
      <c r="C59" s="1299">
        <v>77</v>
      </c>
      <c r="D59" s="1299">
        <v>14321011.308</v>
      </c>
      <c r="E59" s="1299">
        <v>155</v>
      </c>
      <c r="F59" s="1299">
        <v>11843151.818</v>
      </c>
    </row>
    <row r="60" spans="1:6">
      <c r="A60" s="1298" t="s">
        <v>48</v>
      </c>
      <c r="B60" s="1298" t="s">
        <v>52</v>
      </c>
      <c r="C60" s="1299">
        <v>21</v>
      </c>
      <c r="D60" s="1299">
        <v>861677</v>
      </c>
      <c r="E60" s="1299">
        <v>31</v>
      </c>
      <c r="F60" s="1299">
        <v>1200226.6000000001</v>
      </c>
    </row>
    <row r="61" spans="1:6">
      <c r="A61" s="1298" t="s">
        <v>48</v>
      </c>
      <c r="B61" s="1298" t="s">
        <v>53</v>
      </c>
      <c r="C61" s="1299">
        <v>63</v>
      </c>
      <c r="D61" s="1299">
        <v>4907092.5109999999</v>
      </c>
      <c r="E61" s="1299">
        <v>121</v>
      </c>
      <c r="F61" s="1299">
        <v>4844407.9139999999</v>
      </c>
    </row>
    <row r="62" spans="1:6">
      <c r="A62" s="1298" t="s">
        <v>48</v>
      </c>
      <c r="B62" s="1298" t="s">
        <v>54</v>
      </c>
      <c r="C62" s="1299">
        <v>0</v>
      </c>
      <c r="D62" s="1299">
        <v>0</v>
      </c>
      <c r="E62" s="1299">
        <v>0</v>
      </c>
      <c r="F62" s="1299">
        <v>0</v>
      </c>
    </row>
    <row r="63" spans="1:6">
      <c r="A63" s="1298" t="s">
        <v>48</v>
      </c>
      <c r="B63" s="1298" t="s">
        <v>28</v>
      </c>
      <c r="C63" s="1299">
        <v>1</v>
      </c>
      <c r="D63" s="1299">
        <v>103802</v>
      </c>
      <c r="E63" s="1299">
        <v>1</v>
      </c>
      <c r="F63" s="1299">
        <v>32354</v>
      </c>
    </row>
    <row r="64" spans="1:6">
      <c r="A64" s="1298" t="s">
        <v>55</v>
      </c>
      <c r="B64" s="1298" t="s">
        <v>56</v>
      </c>
      <c r="C64" s="1299">
        <v>0</v>
      </c>
      <c r="D64" s="1299">
        <v>0</v>
      </c>
      <c r="E64" s="1299">
        <v>0</v>
      </c>
      <c r="F64" s="1299">
        <v>0</v>
      </c>
    </row>
    <row r="65" spans="1:6">
      <c r="A65" s="1298" t="s">
        <v>55</v>
      </c>
      <c r="B65" s="1298" t="s">
        <v>28</v>
      </c>
      <c r="C65" s="1299">
        <v>0</v>
      </c>
      <c r="D65" s="1299">
        <v>0</v>
      </c>
      <c r="E65" s="1299">
        <v>0</v>
      </c>
      <c r="F65" s="1299">
        <v>0</v>
      </c>
    </row>
    <row r="66" spans="1:6">
      <c r="A66" s="1298" t="s">
        <v>55</v>
      </c>
      <c r="B66" s="1298" t="s">
        <v>57</v>
      </c>
      <c r="C66" s="1299">
        <v>0</v>
      </c>
      <c r="D66" s="1299">
        <v>0</v>
      </c>
      <c r="E66" s="1299">
        <v>3</v>
      </c>
      <c r="F66" s="1299">
        <v>79183</v>
      </c>
    </row>
    <row r="67" spans="1:6">
      <c r="A67" s="1300" t="s">
        <v>55</v>
      </c>
      <c r="B67" s="1300" t="s">
        <v>58</v>
      </c>
      <c r="C67" s="1299">
        <v>0</v>
      </c>
      <c r="D67" s="1299">
        <v>0</v>
      </c>
      <c r="E67" s="1299">
        <v>0</v>
      </c>
      <c r="F67" s="1299">
        <v>0</v>
      </c>
    </row>
    <row r="68" spans="1:6">
      <c r="A68" s="1293" t="s">
        <v>55</v>
      </c>
      <c r="B68" s="1293" t="s">
        <v>59</v>
      </c>
      <c r="C68" s="1302">
        <v>3</v>
      </c>
      <c r="D68" s="1302">
        <v>857716.69200000004</v>
      </c>
      <c r="E68" s="1302">
        <v>7</v>
      </c>
      <c r="F68" s="1302">
        <v>759410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31082138</v>
      </c>
      <c r="E73" s="446"/>
      <c r="F73" s="326"/>
    </row>
    <row r="74" spans="1:6">
      <c r="A74" s="1298" t="s">
        <v>63</v>
      </c>
      <c r="B74" s="1298" t="s">
        <v>639</v>
      </c>
      <c r="C74" s="1312" t="s">
        <v>641</v>
      </c>
      <c r="D74" s="1313">
        <v>2423965.5</v>
      </c>
      <c r="E74" s="446"/>
      <c r="F74" s="326"/>
    </row>
    <row r="75" spans="1:6">
      <c r="A75" s="1298" t="s">
        <v>64</v>
      </c>
      <c r="B75" s="1298" t="s">
        <v>638</v>
      </c>
      <c r="C75" s="1312" t="s">
        <v>642</v>
      </c>
      <c r="D75" s="1313">
        <v>25226880</v>
      </c>
      <c r="E75" s="446"/>
      <c r="F75" s="326"/>
    </row>
    <row r="76" spans="1:6">
      <c r="A76" s="1298" t="s">
        <v>64</v>
      </c>
      <c r="B76" s="1298" t="s">
        <v>639</v>
      </c>
      <c r="C76" s="1312" t="s">
        <v>643</v>
      </c>
      <c r="D76" s="1313">
        <v>589125.5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306845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4750.7976841739437</v>
      </c>
      <c r="C91" s="326"/>
      <c r="D91" s="326"/>
      <c r="E91" s="326"/>
      <c r="F91" s="326"/>
    </row>
    <row r="92" spans="1:6">
      <c r="A92" s="1293" t="s">
        <v>68</v>
      </c>
      <c r="B92" s="1294">
        <v>7782.4239907920883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217</v>
      </c>
      <c r="C97" s="326"/>
      <c r="D97" s="326"/>
      <c r="E97" s="326"/>
      <c r="F97" s="326"/>
    </row>
    <row r="98" spans="1:6">
      <c r="A98" s="1298" t="s">
        <v>71</v>
      </c>
      <c r="B98" s="1299">
        <v>5</v>
      </c>
      <c r="C98" s="326"/>
      <c r="D98" s="326"/>
      <c r="E98" s="326"/>
      <c r="F98" s="326"/>
    </row>
    <row r="99" spans="1:6">
      <c r="A99" s="1298" t="s">
        <v>72</v>
      </c>
      <c r="B99" s="1299">
        <v>11</v>
      </c>
      <c r="C99" s="326"/>
      <c r="D99" s="326"/>
      <c r="E99" s="326"/>
      <c r="F99" s="326"/>
    </row>
    <row r="100" spans="1:6">
      <c r="A100" s="1298" t="s">
        <v>73</v>
      </c>
      <c r="B100" s="1299">
        <v>176</v>
      </c>
      <c r="C100" s="326"/>
      <c r="D100" s="326"/>
      <c r="E100" s="326"/>
      <c r="F100" s="326"/>
    </row>
    <row r="101" spans="1:6">
      <c r="A101" s="1298" t="s">
        <v>74</v>
      </c>
      <c r="B101" s="1299">
        <v>42</v>
      </c>
      <c r="C101" s="326"/>
      <c r="D101" s="326"/>
      <c r="E101" s="326"/>
      <c r="F101" s="326"/>
    </row>
    <row r="102" spans="1:6">
      <c r="A102" s="1298" t="s">
        <v>75</v>
      </c>
      <c r="B102" s="1299">
        <v>26</v>
      </c>
      <c r="C102" s="326"/>
      <c r="D102" s="326"/>
      <c r="E102" s="326"/>
      <c r="F102" s="326"/>
    </row>
    <row r="103" spans="1:6">
      <c r="A103" s="1298" t="s">
        <v>76</v>
      </c>
      <c r="B103" s="1299">
        <v>39</v>
      </c>
      <c r="C103" s="326"/>
      <c r="D103" s="326"/>
      <c r="E103" s="326"/>
      <c r="F103" s="326"/>
    </row>
    <row r="104" spans="1:6">
      <c r="A104" s="1298" t="s">
        <v>77</v>
      </c>
      <c r="B104" s="1299">
        <v>2697</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15</v>
      </c>
      <c r="C123" s="1299">
        <v>19</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158</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51234.623528058364</v>
      </c>
      <c r="C3" s="43" t="s">
        <v>169</v>
      </c>
      <c r="D3" s="43"/>
      <c r="E3" s="154"/>
      <c r="F3" s="43"/>
      <c r="G3" s="43"/>
      <c r="H3" s="43"/>
      <c r="I3" s="43"/>
      <c r="J3" s="43"/>
      <c r="K3" s="96"/>
    </row>
    <row r="4" spans="1:11">
      <c r="A4" s="354" t="s">
        <v>170</v>
      </c>
      <c r="B4" s="49">
        <f>IF(ISERROR('SEAP template'!B78+'SEAP template'!C78),0,'SEAP template'!B78+'SEAP template'!C78)</f>
        <v>12533.221674966033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0.16693808250292691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653.41399999999999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653.41399999999999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0.16693808250292691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109.07968024056748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13200.449550000001</v>
      </c>
      <c r="C5" s="17">
        <f>IF(ISERROR('Eigen informatie GS &amp; warmtenet'!B59),0,'Eigen informatie GS &amp; warmtenet'!B59)</f>
        <v>0</v>
      </c>
      <c r="D5" s="30">
        <f>(SUM(HH_hh_gas_kWh,HH_rest_gas_kWh)/1000)*0.902</f>
        <v>28268.874380999998</v>
      </c>
      <c r="E5" s="17">
        <f>B32*B41</f>
        <v>2020.8393346257553</v>
      </c>
      <c r="F5" s="17">
        <f>B36*B45</f>
        <v>32578.623461633779</v>
      </c>
      <c r="G5" s="18"/>
      <c r="H5" s="17"/>
      <c r="I5" s="17"/>
      <c r="J5" s="17">
        <f>B35*B44+C35*C44</f>
        <v>130.1501643977584</v>
      </c>
      <c r="K5" s="17"/>
      <c r="L5" s="17"/>
      <c r="M5" s="17"/>
      <c r="N5" s="17">
        <f>B34*B43+C34*C43</f>
        <v>5941.4620895384314</v>
      </c>
      <c r="O5" s="17">
        <f>B52*B53*B54</f>
        <v>353.14456305089169</v>
      </c>
      <c r="P5" s="17">
        <f>B60*B61*B62/1000-B60*B61*B62/1000/B63</f>
        <v>358.15461646129074</v>
      </c>
    </row>
    <row r="6" spans="1:16">
      <c r="A6" s="16" t="s">
        <v>604</v>
      </c>
      <c r="B6" s="778">
        <f>kWh_PV_kleiner_dan_10kW</f>
        <v>4750.7976841739437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17951.247234173945</v>
      </c>
      <c r="C8" s="21">
        <f>C5</f>
        <v>0</v>
      </c>
      <c r="D8" s="21">
        <f>D5</f>
        <v>28268.874380999998</v>
      </c>
      <c r="E8" s="21">
        <f>E5</f>
        <v>2020.8393346257553</v>
      </c>
      <c r="F8" s="21">
        <f>F5</f>
        <v>32578.623461633779</v>
      </c>
      <c r="G8" s="21"/>
      <c r="H8" s="21"/>
      <c r="I8" s="21"/>
      <c r="J8" s="21">
        <f>J5</f>
        <v>130.1501643977584</v>
      </c>
      <c r="K8" s="21"/>
      <c r="L8" s="21">
        <f>L5</f>
        <v>0</v>
      </c>
      <c r="M8" s="21">
        <f>M5</f>
        <v>0</v>
      </c>
      <c r="N8" s="21">
        <f>N5</f>
        <v>5941.4620895384314</v>
      </c>
      <c r="O8" s="21">
        <f>O5</f>
        <v>353.14456305089169</v>
      </c>
      <c r="P8" s="21">
        <f>P5</f>
        <v>358.15461646129074</v>
      </c>
    </row>
    <row r="9" spans="1:16">
      <c r="B9" s="19"/>
      <c r="C9" s="19"/>
      <c r="D9" s="256"/>
      <c r="E9" s="19"/>
      <c r="F9" s="19"/>
      <c r="G9" s="19"/>
      <c r="H9" s="19"/>
      <c r="I9" s="19"/>
      <c r="J9" s="19"/>
      <c r="K9" s="19"/>
      <c r="L9" s="19"/>
      <c r="M9" s="19"/>
      <c r="N9" s="19"/>
      <c r="O9" s="19"/>
      <c r="P9" s="19"/>
    </row>
    <row r="10" spans="1:16">
      <c r="A10" s="24" t="s">
        <v>213</v>
      </c>
      <c r="B10" s="25">
        <f ca="1">'EF ele_warmte'!B12</f>
        <v>0.16693808250292691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2996.7467918089687</v>
      </c>
      <c r="C12" s="23">
        <f ca="1">C10*C8</f>
        <v>0</v>
      </c>
      <c r="D12" s="23">
        <f>D8*D10</f>
        <v>5710.312624962</v>
      </c>
      <c r="E12" s="23">
        <f>E10*E8</f>
        <v>458.73052896004646</v>
      </c>
      <c r="F12" s="23">
        <f>F10*F8</f>
        <v>8698.49246425622</v>
      </c>
      <c r="G12" s="23"/>
      <c r="H12" s="23"/>
      <c r="I12" s="23"/>
      <c r="J12" s="23">
        <f>J10*J8</f>
        <v>46.073158196806475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4046</v>
      </c>
      <c r="C26" s="36"/>
      <c r="D26" s="226"/>
    </row>
    <row r="27" spans="1:7" s="15" customFormat="1">
      <c r="A27" s="228" t="s">
        <v>806</v>
      </c>
      <c r="B27" s="37">
        <f>SUM(HH_hh_gas_aantal,HH_rest_gas_aantal)</f>
        <v>1757</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1669.15</v>
      </c>
      <c r="C31" s="166" t="s">
        <v>110</v>
      </c>
      <c r="D31" s="231"/>
      <c r="G31" s="15"/>
    </row>
    <row r="32" spans="1:7">
      <c r="A32" s="169" t="s">
        <v>72</v>
      </c>
      <c r="B32" s="166">
        <f>IF((B21*($B$26-($B$27-0.05*$B$27)-$B$60))&lt;0,0,B21*($B$26-($B$27-0.05*$B$27)-$B$60))</f>
        <v>37.193209260084906</v>
      </c>
      <c r="C32" s="166" t="s">
        <v>110</v>
      </c>
      <c r="D32" s="231"/>
      <c r="G32" s="15"/>
    </row>
    <row r="33" spans="1:7">
      <c r="A33" s="169" t="s">
        <v>73</v>
      </c>
      <c r="B33" s="166">
        <f>IF((B22*($B$26-($B$27-0.05*$B$27)-$B$60))&lt;0,0,B22*($B$26-($B$27-0.05*$B$27)-$B$60))</f>
        <v>603.94405642433389</v>
      </c>
      <c r="C33" s="166" t="s">
        <v>110</v>
      </c>
      <c r="D33" s="231"/>
      <c r="G33" s="15"/>
    </row>
    <row r="34" spans="1:7">
      <c r="A34" s="169" t="s">
        <v>74</v>
      </c>
      <c r="B34" s="166">
        <f>IF((B24*($B$26-($B$27-0.05*$B$27)-$B$60))&lt;0,0,B24*($B$26-($B$27-0.05*$B$27)-$B$60))</f>
        <v>115.78415787619583</v>
      </c>
      <c r="C34" s="166">
        <f>B26*C24</f>
        <v>829.0494324572777</v>
      </c>
      <c r="D34" s="231"/>
      <c r="G34" s="15"/>
    </row>
    <row r="35" spans="1:7">
      <c r="A35" s="169" t="s">
        <v>76</v>
      </c>
      <c r="B35" s="166">
        <f>IF((B19*($B$26-($B$27-0.05*$B$27)-$B$60))&lt;0,0,B19*($B$26-($B$27-0.05*$B$27)-$B$60))</f>
        <v>16.167799394320983</v>
      </c>
      <c r="C35" s="166">
        <f>B35/2</f>
        <v>8.0838996971604917</v>
      </c>
      <c r="D35" s="232"/>
      <c r="G35" s="15"/>
    </row>
    <row r="36" spans="1:7">
      <c r="A36" s="169" t="s">
        <v>77</v>
      </c>
      <c r="B36" s="166">
        <f>IF((B18*($B$26-($B$27-0.05*$B$27)-$B$60))&lt;0,0,B18*($B$26-($B$27-0.05*$B$27)-$B$60))</f>
        <v>1569.7607770450638</v>
      </c>
      <c r="C36" s="166" t="s">
        <v>110</v>
      </c>
      <c r="D36" s="232"/>
      <c r="G36" s="15"/>
    </row>
    <row r="37" spans="1:7">
      <c r="A37" s="169" t="s">
        <v>78</v>
      </c>
      <c r="B37" s="166">
        <f>B60</f>
        <v>34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178</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34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19215.924332000002</v>
      </c>
      <c r="C5" s="17">
        <f>IF(ISERROR('Eigen informatie GS &amp; warmtenet'!B60),0,'Eigen informatie GS &amp; warmtenet'!B60)</f>
        <v>0</v>
      </c>
      <c r="D5" s="30">
        <f>SUM(D6:D12)</f>
        <v>20914.456499838005</v>
      </c>
      <c r="E5" s="17">
        <f>SUM(E6:E12)</f>
        <v>372.31205843296465</v>
      </c>
      <c r="F5" s="17">
        <f>SUM(F6:F12)</f>
        <v>2029.1217585897707</v>
      </c>
      <c r="G5" s="18"/>
      <c r="H5" s="17"/>
      <c r="I5" s="17"/>
      <c r="J5" s="17">
        <f>SUM(J6:J12)</f>
        <v>1.2156968319841196E-2</v>
      </c>
      <c r="K5" s="17"/>
      <c r="L5" s="17"/>
      <c r="M5" s="17"/>
      <c r="N5" s="17">
        <f>SUM(N6:N12)</f>
        <v>485.81531465755779</v>
      </c>
      <c r="O5" s="17">
        <f>B38*B39*B40</f>
        <v>14.691782297523464</v>
      </c>
      <c r="P5" s="17">
        <f>B46*B47*B48/1000-B46*B47*B48/1000/B49</f>
        <v>0</v>
      </c>
      <c r="R5" s="32"/>
    </row>
    <row r="6" spans="1:18">
      <c r="A6" s="32" t="s">
        <v>53</v>
      </c>
      <c r="B6" s="37">
        <f>B26</f>
        <v>4844.4079139999994</v>
      </c>
      <c r="C6" s="33"/>
      <c r="D6" s="37">
        <f>IF(ISERROR(TER_kantoor_gas_kWh/1000),0,TER_kantoor_gas_kWh/1000)*0.902</f>
        <v>4426.1974449219997</v>
      </c>
      <c r="E6" s="33">
        <f>$C$26*'E Balans VL '!I12/100/3.6*1000000</f>
        <v>38.981397244412847</v>
      </c>
      <c r="F6" s="33">
        <f>$C$26*('E Balans VL '!L12+'E Balans VL '!N12)/100/3.6*1000000</f>
        <v>592.27982902618805</v>
      </c>
      <c r="G6" s="34"/>
      <c r="H6" s="33"/>
      <c r="I6" s="33"/>
      <c r="J6" s="33">
        <f>$C$26*('E Balans VL '!D12+'E Balans VL '!E12)/100/3.6*1000000</f>
        <v>0</v>
      </c>
      <c r="K6" s="33"/>
      <c r="L6" s="33"/>
      <c r="M6" s="33"/>
      <c r="N6" s="33">
        <f>$C$26*'E Balans VL '!Y12/100/3.6*1000000</f>
        <v>2.6036306925057948</v>
      </c>
      <c r="O6" s="33"/>
      <c r="P6" s="33"/>
      <c r="R6" s="32"/>
    </row>
    <row r="7" spans="1:18">
      <c r="A7" s="32" t="s">
        <v>52</v>
      </c>
      <c r="B7" s="37">
        <f t="shared" ref="B7:B12" si="0">B27</f>
        <v>1200.2266000000002</v>
      </c>
      <c r="C7" s="33"/>
      <c r="D7" s="37">
        <f>IF(ISERROR(TER_horeca_gas_kWh/1000),0,TER_horeca_gas_kWh/1000)*0.902</f>
        <v>777.23265400000003</v>
      </c>
      <c r="E7" s="33">
        <f>$C$27*'E Balans VL '!I9/100/3.6*1000000</f>
        <v>12.887486442731486</v>
      </c>
      <c r="F7" s="33">
        <f>$C$27*('E Balans VL '!L9+'E Balans VL '!N9)/100/3.6*1000000</f>
        <v>144.35815605399969</v>
      </c>
      <c r="G7" s="34"/>
      <c r="H7" s="33"/>
      <c r="I7" s="33"/>
      <c r="J7" s="33">
        <f>$C$27*('E Balans VL '!D9+'E Balans VL '!E9)/100/3.6*1000000</f>
        <v>0</v>
      </c>
      <c r="K7" s="33"/>
      <c r="L7" s="33"/>
      <c r="M7" s="33"/>
      <c r="N7" s="33">
        <f>$C$27*'E Balans VL '!Y9/100/3.6*1000000</f>
        <v>0.17993829310899587</v>
      </c>
      <c r="O7" s="33"/>
      <c r="P7" s="33"/>
      <c r="R7" s="32"/>
    </row>
    <row r="8" spans="1:18">
      <c r="A8" s="6" t="s">
        <v>51</v>
      </c>
      <c r="B8" s="37">
        <f t="shared" si="0"/>
        <v>11843.151818</v>
      </c>
      <c r="C8" s="33"/>
      <c r="D8" s="37">
        <f>IF(ISERROR(TER_handel_gas_kWh/1000),0,TER_handel_gas_kWh/1000)*0.902</f>
        <v>12917.552199816002</v>
      </c>
      <c r="E8" s="33">
        <f>$C$28*'E Balans VL '!I13/100/3.6*1000000</f>
        <v>317.83393733755531</v>
      </c>
      <c r="F8" s="33">
        <f>$C$28*('E Balans VL '!L13+'E Balans VL '!N13)/100/3.6*1000000</f>
        <v>1130.2016987880613</v>
      </c>
      <c r="G8" s="34"/>
      <c r="H8" s="33"/>
      <c r="I8" s="33"/>
      <c r="J8" s="33">
        <f>$C$28*('E Balans VL '!D13+'E Balans VL '!E13)/100/3.6*1000000</f>
        <v>0</v>
      </c>
      <c r="K8" s="33"/>
      <c r="L8" s="33"/>
      <c r="M8" s="33"/>
      <c r="N8" s="33">
        <f>$C$28*'E Balans VL '!Y13/100/3.6*1000000</f>
        <v>4.6947600418566777</v>
      </c>
      <c r="O8" s="33"/>
      <c r="P8" s="33"/>
      <c r="R8" s="32"/>
    </row>
    <row r="9" spans="1:18">
      <c r="A9" s="32" t="s">
        <v>50</v>
      </c>
      <c r="B9" s="37">
        <f t="shared" si="0"/>
        <v>583.31200000000001</v>
      </c>
      <c r="C9" s="33"/>
      <c r="D9" s="37">
        <f>IF(ISERROR(TER_gezond_gas_kWh/1000),0,TER_gezond_gas_kWh/1000)*0.902</f>
        <v>989.43361110000012</v>
      </c>
      <c r="E9" s="33">
        <f>$C$29*'E Balans VL '!I10/100/3.6*1000000</f>
        <v>1.0933166226348832</v>
      </c>
      <c r="F9" s="33">
        <f>$C$29*('E Balans VL '!L10+'E Balans VL '!N10)/100/3.6*1000000</f>
        <v>47.953568711898228</v>
      </c>
      <c r="G9" s="34"/>
      <c r="H9" s="33"/>
      <c r="I9" s="33"/>
      <c r="J9" s="33">
        <f>$C$29*('E Balans VL '!D10+'E Balans VL '!E10)/100/3.6*1000000</f>
        <v>0</v>
      </c>
      <c r="K9" s="33"/>
      <c r="L9" s="33"/>
      <c r="M9" s="33"/>
      <c r="N9" s="33">
        <f>$C$29*'E Balans VL '!Y10/100/3.6*1000000</f>
        <v>4.5386025732864717</v>
      </c>
      <c r="O9" s="33"/>
      <c r="P9" s="33"/>
      <c r="R9" s="32"/>
    </row>
    <row r="10" spans="1:18">
      <c r="A10" s="32" t="s">
        <v>49</v>
      </c>
      <c r="B10" s="37">
        <f t="shared" si="0"/>
        <v>712.47199999999998</v>
      </c>
      <c r="C10" s="33"/>
      <c r="D10" s="37">
        <f>IF(ISERROR(TER_ander_gas_kWh/1000),0,TER_ander_gas_kWh/1000)*0.902</f>
        <v>1710.411186</v>
      </c>
      <c r="E10" s="33">
        <f>$C$30*'E Balans VL '!I14/100/3.6*1000000</f>
        <v>1.0982828073672275</v>
      </c>
      <c r="F10" s="33">
        <f>$C$30*('E Balans VL '!L14+'E Balans VL '!N14)/100/3.6*1000000</f>
        <v>110.61147468870931</v>
      </c>
      <c r="G10" s="34"/>
      <c r="H10" s="33"/>
      <c r="I10" s="33"/>
      <c r="J10" s="33">
        <f>$C$30*('E Balans VL '!D14+'E Balans VL '!E14)/100/3.6*1000000</f>
        <v>1.2094963590640386E-2</v>
      </c>
      <c r="K10" s="33"/>
      <c r="L10" s="33"/>
      <c r="M10" s="33"/>
      <c r="N10" s="33">
        <f>$C$30*'E Balans VL '!Y14/100/3.6*1000000</f>
        <v>471.34864064380474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32.353999999999999</v>
      </c>
      <c r="C12" s="33"/>
      <c r="D12" s="37">
        <f>IF(ISERROR(TER_rest_gas_kWh/1000),0,TER_rest_gas_kWh/1000)*0.902</f>
        <v>93.629404000000008</v>
      </c>
      <c r="E12" s="33">
        <f>$C$32*'E Balans VL '!I8/100/3.6*1000000</f>
        <v>0.41763797826289856</v>
      </c>
      <c r="F12" s="33">
        <f>$C$32*('E Balans VL '!L8+'E Balans VL '!N8)/100/3.6*1000000</f>
        <v>3.7170313209141104</v>
      </c>
      <c r="G12" s="34"/>
      <c r="H12" s="33"/>
      <c r="I12" s="33"/>
      <c r="J12" s="33">
        <f>$C$32*('E Balans VL '!D8+'E Balans VL '!E8)/100/3.6*1000000</f>
        <v>6.2004729200810626E-5</v>
      </c>
      <c r="K12" s="33"/>
      <c r="L12" s="33"/>
      <c r="M12" s="33"/>
      <c r="N12" s="33">
        <f>$C$32*'E Balans VL '!Y8/100/3.6*1000000</f>
        <v>2.4497424129951497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19215.924332000002</v>
      </c>
      <c r="C16" s="21">
        <f t="shared" ca="1" si="1"/>
        <v>0</v>
      </c>
      <c r="D16" s="21">
        <f t="shared" ca="1" si="1"/>
        <v>20914.456499838005</v>
      </c>
      <c r="E16" s="21">
        <f t="shared" si="1"/>
        <v>372.31205843296465</v>
      </c>
      <c r="F16" s="21">
        <f t="shared" ca="1" si="1"/>
        <v>2029.1217585897707</v>
      </c>
      <c r="G16" s="21">
        <f t="shared" si="1"/>
        <v>0</v>
      </c>
      <c r="H16" s="21">
        <f t="shared" si="1"/>
        <v>0</v>
      </c>
      <c r="I16" s="21">
        <f t="shared" si="1"/>
        <v>0</v>
      </c>
      <c r="J16" s="21">
        <f t="shared" si="1"/>
        <v>1.2156968319841196E-2</v>
      </c>
      <c r="K16" s="21">
        <f t="shared" si="1"/>
        <v>0</v>
      </c>
      <c r="L16" s="21">
        <f t="shared" ca="1" si="1"/>
        <v>0</v>
      </c>
      <c r="M16" s="21">
        <f t="shared" si="1"/>
        <v>0</v>
      </c>
      <c r="N16" s="21">
        <f t="shared" ca="1" si="1"/>
        <v>485.81531465755779</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0.16693808250292691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3207.8695615054171</v>
      </c>
      <c r="C20" s="23">
        <f t="shared" ref="C20:P20" ca="1" si="2">C16*C18</f>
        <v>0</v>
      </c>
      <c r="D20" s="23">
        <f t="shared" ca="1" si="2"/>
        <v>4224.7202129672769</v>
      </c>
      <c r="E20" s="23">
        <f t="shared" si="2"/>
        <v>84.514837264282974</v>
      </c>
      <c r="F20" s="23">
        <f t="shared" ca="1" si="2"/>
        <v>541.77550954346884</v>
      </c>
      <c r="G20" s="23">
        <f t="shared" si="2"/>
        <v>0</v>
      </c>
      <c r="H20" s="23">
        <f t="shared" si="2"/>
        <v>0</v>
      </c>
      <c r="I20" s="23">
        <f t="shared" si="2"/>
        <v>0</v>
      </c>
      <c r="J20" s="23">
        <f t="shared" si="2"/>
        <v>4.3035667852237827E-3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4844.4079139999994</v>
      </c>
      <c r="C26" s="39">
        <f>IF(ISERROR(B26*3.6/1000000/'E Balans VL '!Z12*100),0,B26*3.6/1000000/'E Balans VL '!Z12*100)</f>
        <v>0.10276968177122578</v>
      </c>
      <c r="D26" s="235" t="s">
        <v>698</v>
      </c>
      <c r="F26" s="6"/>
    </row>
    <row r="27" spans="1:18">
      <c r="A27" s="229" t="s">
        <v>52</v>
      </c>
      <c r="B27" s="33">
        <f>IF(ISERROR(TER_horeca_ele_kWh/1000),0,TER_horeca_ele_kWh/1000)</f>
        <v>1200.2266000000002</v>
      </c>
      <c r="C27" s="39">
        <f>IF(ISERROR(B27*3.6/1000000/'E Balans VL '!Z9*100),0,B27*3.6/1000000/'E Balans VL '!Z9*100)</f>
        <v>9.0387695195206688E-2</v>
      </c>
      <c r="D27" s="235" t="s">
        <v>698</v>
      </c>
      <c r="F27" s="6"/>
    </row>
    <row r="28" spans="1:18">
      <c r="A28" s="169" t="s">
        <v>51</v>
      </c>
      <c r="B28" s="33">
        <f>IF(ISERROR(TER_handel_ele_kWh/1000),0,TER_handel_ele_kWh/1000)</f>
        <v>11843.151818</v>
      </c>
      <c r="C28" s="39">
        <f>IF(ISERROR(B28*3.6/1000000/'E Balans VL '!Z13*100),0,B28*3.6/1000000/'E Balans VL '!Z13*100)</f>
        <v>0.34376473371557614</v>
      </c>
      <c r="D28" s="235" t="s">
        <v>698</v>
      </c>
      <c r="F28" s="6"/>
    </row>
    <row r="29" spans="1:18">
      <c r="A29" s="229" t="s">
        <v>50</v>
      </c>
      <c r="B29" s="33">
        <f>IF(ISERROR(TER_gezond_ele_kWh/1000),0,TER_gezond_ele_kWh/1000)</f>
        <v>583.31200000000001</v>
      </c>
      <c r="C29" s="39">
        <f>IF(ISERROR(B29*3.6/1000000/'E Balans VL '!Z10*100),0,B29*3.6/1000000/'E Balans VL '!Z10*100)</f>
        <v>5.8827710827892302E-2</v>
      </c>
      <c r="D29" s="235" t="s">
        <v>698</v>
      </c>
      <c r="F29" s="6"/>
    </row>
    <row r="30" spans="1:18">
      <c r="A30" s="229" t="s">
        <v>49</v>
      </c>
      <c r="B30" s="33">
        <f>IF(ISERROR(TER_ander_ele_kWh/1000),0,TER_ander_ele_kWh/1000)</f>
        <v>712.47199999999998</v>
      </c>
      <c r="C30" s="39">
        <f>IF(ISERROR(B30*3.6/1000000/'E Balans VL '!Z14*100),0,B30*3.6/1000000/'E Balans VL '!Z14*100)</f>
        <v>5.1699563500273132E-2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32.353999999999999</v>
      </c>
      <c r="C32" s="39">
        <f>IF(ISERROR(B32*3.6/1000000/'E Balans VL '!Z8*100),0,B32*3.6/1000000/'E Balans VL '!Z8*100)</f>
        <v>2.6503737779873905E-4</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12551.3577</v>
      </c>
      <c r="C5" s="17">
        <f>IF(ISERROR('Eigen informatie GS &amp; warmtenet'!B61),0,'Eigen informatie GS &amp; warmtenet'!B61)</f>
        <v>0</v>
      </c>
      <c r="D5" s="30">
        <f>SUM(D6:D15)</f>
        <v>11690.042672000001</v>
      </c>
      <c r="E5" s="17">
        <f>SUM(E6:E15)</f>
        <v>1045.327963910795</v>
      </c>
      <c r="F5" s="17">
        <f>SUM(F6:F15)</f>
        <v>4862.6827866400608</v>
      </c>
      <c r="G5" s="18"/>
      <c r="H5" s="17"/>
      <c r="I5" s="17"/>
      <c r="J5" s="17">
        <f>SUM(J6:J15)</f>
        <v>61.035811942208504</v>
      </c>
      <c r="K5" s="17"/>
      <c r="L5" s="17"/>
      <c r="M5" s="17"/>
      <c r="N5" s="17">
        <f>SUM(N6:N15)</f>
        <v>1680.9160028336219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3168.9140000000002</v>
      </c>
      <c r="C8" s="33"/>
      <c r="D8" s="37">
        <f>IF( ISERROR(IND_metaal_Gas_kWH/1000),0,IND_metaal_Gas_kWH/1000)*0.902</f>
        <v>4315.2293360000003</v>
      </c>
      <c r="E8" s="33">
        <f>C30*'E Balans VL '!I18/100/3.6*1000000</f>
        <v>22.861490358286556</v>
      </c>
      <c r="F8" s="33">
        <f>C30*'E Balans VL '!L18/100/3.6*1000000+C30*'E Balans VL '!N18/100/3.6*1000000</f>
        <v>299.72083371892165</v>
      </c>
      <c r="G8" s="34"/>
      <c r="H8" s="33"/>
      <c r="I8" s="33"/>
      <c r="J8" s="40">
        <f>C30*'E Balans VL '!D18/100/3.6*1000000+C30*'E Balans VL '!E18/100/3.6*1000000</f>
        <v>3.1873121163870697</v>
      </c>
      <c r="K8" s="33"/>
      <c r="L8" s="33"/>
      <c r="M8" s="33"/>
      <c r="N8" s="33">
        <f>C30*'E Balans VL '!Y18/100/3.6*1000000</f>
        <v>40.06345707870971</v>
      </c>
      <c r="O8" s="33"/>
      <c r="P8" s="33"/>
      <c r="R8" s="32"/>
    </row>
    <row r="9" spans="1:18">
      <c r="A9" s="6" t="s">
        <v>32</v>
      </c>
      <c r="B9" s="37">
        <f t="shared" si="0"/>
        <v>2769.2247000000002</v>
      </c>
      <c r="C9" s="33"/>
      <c r="D9" s="37">
        <f>IF( ISERROR(IND_andere_gas_kWh/1000),0,IND_andere_gas_kWh/1000)*0.902</f>
        <v>2604.0667840000001</v>
      </c>
      <c r="E9" s="33">
        <f>C31*'E Balans VL '!I19/100/3.6*1000000</f>
        <v>767.38919354333655</v>
      </c>
      <c r="F9" s="33">
        <f>C31*'E Balans VL '!L19/100/3.6*1000000+C31*'E Balans VL '!N19/100/3.6*1000000</f>
        <v>2295.139415700698</v>
      </c>
      <c r="G9" s="34"/>
      <c r="H9" s="33"/>
      <c r="I9" s="33"/>
      <c r="J9" s="40">
        <f>C31*'E Balans VL '!D19/100/3.6*1000000+C31*'E Balans VL '!E19/100/3.6*1000000</f>
        <v>0</v>
      </c>
      <c r="K9" s="33"/>
      <c r="L9" s="33"/>
      <c r="M9" s="33"/>
      <c r="N9" s="33">
        <f>C31*'E Balans VL '!Y19/100/3.6*1000000</f>
        <v>201.01184193507257</v>
      </c>
      <c r="O9" s="33"/>
      <c r="P9" s="33"/>
      <c r="R9" s="32"/>
    </row>
    <row r="10" spans="1:18">
      <c r="A10" s="6" t="s">
        <v>40</v>
      </c>
      <c r="B10" s="37">
        <f t="shared" si="0"/>
        <v>115.398</v>
      </c>
      <c r="C10" s="33"/>
      <c r="D10" s="37">
        <f>IF( ISERROR(IND_voed_gas_kWh/1000),0,IND_voed_gas_kWh/1000)*0.902</f>
        <v>0</v>
      </c>
      <c r="E10" s="33">
        <f>C32*'E Balans VL '!I20/100/3.6*1000000</f>
        <v>0.20429354780863135</v>
      </c>
      <c r="F10" s="33">
        <f>C32*'E Balans VL '!L20/100/3.6*1000000+C32*'E Balans VL '!N20/100/3.6*1000000</f>
        <v>6.2325147632996627</v>
      </c>
      <c r="G10" s="34"/>
      <c r="H10" s="33"/>
      <c r="I10" s="33"/>
      <c r="J10" s="40">
        <f>C32*'E Balans VL '!D20/100/3.6*1000000+C32*'E Balans VL '!E20/100/3.6*1000000</f>
        <v>0</v>
      </c>
      <c r="K10" s="33"/>
      <c r="L10" s="33"/>
      <c r="M10" s="33"/>
      <c r="N10" s="33">
        <f>C32*'E Balans VL '!Y20/100/3.6*1000000</f>
        <v>6.7055051055078492</v>
      </c>
      <c r="O10" s="33"/>
      <c r="P10" s="33"/>
      <c r="R10" s="32"/>
    </row>
    <row r="11" spans="1:18">
      <c r="A11" s="6" t="s">
        <v>39</v>
      </c>
      <c r="B11" s="37">
        <f t="shared" si="0"/>
        <v>233.04499999999999</v>
      </c>
      <c r="C11" s="33"/>
      <c r="D11" s="37">
        <f>IF( ISERROR(IND_textiel_gas_kWh/1000),0,IND_textiel_gas_kWh/1000)*0.902</f>
        <v>759.9241760000001</v>
      </c>
      <c r="E11" s="33">
        <f>C33*'E Balans VL '!I21/100/3.6*1000000</f>
        <v>0.82150781389880612</v>
      </c>
      <c r="F11" s="33">
        <f>C33*'E Balans VL '!L21/100/3.6*1000000+C33*'E Balans VL '!N21/100/3.6*1000000</f>
        <v>6.840219236483656</v>
      </c>
      <c r="G11" s="34"/>
      <c r="H11" s="33"/>
      <c r="I11" s="33"/>
      <c r="J11" s="40">
        <f>C33*'E Balans VL '!D21/100/3.6*1000000+C33*'E Balans VL '!E21/100/3.6*1000000</f>
        <v>0</v>
      </c>
      <c r="K11" s="33"/>
      <c r="L11" s="33"/>
      <c r="M11" s="33"/>
      <c r="N11" s="33">
        <f>C33*'E Balans VL '!Y21/100/3.6*1000000</f>
        <v>10.267929340475986</v>
      </c>
      <c r="O11" s="33"/>
      <c r="P11" s="33"/>
      <c r="R11" s="32"/>
    </row>
    <row r="12" spans="1:18">
      <c r="A12" s="6" t="s">
        <v>36</v>
      </c>
      <c r="B12" s="37">
        <f t="shared" si="0"/>
        <v>5751.9870000000001</v>
      </c>
      <c r="C12" s="33"/>
      <c r="D12" s="37">
        <f>IF( ISERROR(IND_min_gas_kWh/1000),0,IND_min_gas_kWh/1000)*0.902</f>
        <v>4010.8223760000001</v>
      </c>
      <c r="E12" s="33">
        <f>C34*'E Balans VL '!I22/100/3.6*1000000</f>
        <v>253.29698994688724</v>
      </c>
      <c r="F12" s="33">
        <f>C34*'E Balans VL '!L22/100/3.6*1000000+C34*'E Balans VL '!N22/100/3.6*1000000</f>
        <v>2249.2592142137005</v>
      </c>
      <c r="G12" s="34"/>
      <c r="H12" s="33"/>
      <c r="I12" s="33"/>
      <c r="J12" s="40">
        <f>C34*'E Balans VL '!D22/100/3.6*1000000+C34*'E Balans VL '!E22/100/3.6*1000000</f>
        <v>1.7465076555856047</v>
      </c>
      <c r="K12" s="33"/>
      <c r="L12" s="33"/>
      <c r="M12" s="33"/>
      <c r="N12" s="33">
        <f>C34*'E Balans VL '!Y22/100/3.6*1000000</f>
        <v>1422.8672693738558</v>
      </c>
      <c r="O12" s="33"/>
      <c r="P12" s="33"/>
      <c r="R12" s="32"/>
    </row>
    <row r="13" spans="1:18">
      <c r="A13" s="6" t="s">
        <v>38</v>
      </c>
      <c r="B13" s="37">
        <f t="shared" si="0"/>
        <v>512.78899999999999</v>
      </c>
      <c r="C13" s="33"/>
      <c r="D13" s="37">
        <f>IF( ISERROR(IND_papier_gas_kWh/1000),0,IND_papier_gas_kWh/1000)*0.902</f>
        <v>0</v>
      </c>
      <c r="E13" s="33">
        <f>C35*'E Balans VL '!I23/100/3.6*1000000</f>
        <v>0.75448870057711404</v>
      </c>
      <c r="F13" s="33">
        <f>C35*'E Balans VL '!L23/100/3.6*1000000+C35*'E Balans VL '!N23/100/3.6*1000000</f>
        <v>5.4905890069572632</v>
      </c>
      <c r="G13" s="34"/>
      <c r="H13" s="33"/>
      <c r="I13" s="33"/>
      <c r="J13" s="40">
        <f>C35*'E Balans VL '!D23/100/3.6*1000000+C35*'E Balans VL '!E23/100/3.6*1000000</f>
        <v>56.101992170235832</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12551.3577</v>
      </c>
      <c r="C18" s="21">
        <f>C5+C16</f>
        <v>0</v>
      </c>
      <c r="D18" s="21">
        <f>MAX((D5+D16),0)</f>
        <v>11690.042672000001</v>
      </c>
      <c r="E18" s="21">
        <f>MAX((E5+E16),0)</f>
        <v>1045.327963910795</v>
      </c>
      <c r="F18" s="21">
        <f>MAX((F5+F16),0)</f>
        <v>4862.6827866400608</v>
      </c>
      <c r="G18" s="21"/>
      <c r="H18" s="21"/>
      <c r="I18" s="21"/>
      <c r="J18" s="21">
        <f>MAX((J5+J16),0)</f>
        <v>61.035811942208504</v>
      </c>
      <c r="K18" s="21"/>
      <c r="L18" s="21">
        <f>MAX((L5+L16),0)</f>
        <v>0</v>
      </c>
      <c r="M18" s="21"/>
      <c r="N18" s="21">
        <f>MAX((N5+N16),0)</f>
        <v>1680.9160028336219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0.16693808250292691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2095.2995872463471</v>
      </c>
      <c r="C22" s="23">
        <f ca="1">C18*C20</f>
        <v>0</v>
      </c>
      <c r="D22" s="23">
        <f>D18*D20</f>
        <v>2361.3886197440006</v>
      </c>
      <c r="E22" s="23">
        <f>E18*E20</f>
        <v>237.28944780775046</v>
      </c>
      <c r="F22" s="23">
        <f>F18*F20</f>
        <v>1298.3363040328964</v>
      </c>
      <c r="G22" s="23"/>
      <c r="H22" s="23"/>
      <c r="I22" s="23"/>
      <c r="J22" s="23">
        <f>J18*J20</f>
        <v>21.606677427541808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3168.9140000000002</v>
      </c>
      <c r="C30" s="39">
        <f>IF(ISERROR(B30*3.6/1000000/'E Balans VL '!Z18*100),0,B30*3.6/1000000/'E Balans VL '!Z18*100)</f>
        <v>0.18293646061243066</v>
      </c>
      <c r="D30" s="235" t="s">
        <v>698</v>
      </c>
    </row>
    <row r="31" spans="1:18">
      <c r="A31" s="6" t="s">
        <v>32</v>
      </c>
      <c r="B31" s="37">
        <f>IF( ISERROR(IND_ander_ele_kWh/1000),0,IND_ander_ele_kWh/1000)</f>
        <v>2769.2247000000002</v>
      </c>
      <c r="C31" s="39">
        <f>IF(ISERROR(B31*3.6/1000000/'E Balans VL '!Z19*100),0,B31*3.6/1000000/'E Balans VL '!Z19*100)</f>
        <v>0.13928302631569811</v>
      </c>
      <c r="D31" s="235" t="s">
        <v>698</v>
      </c>
    </row>
    <row r="32" spans="1:18">
      <c r="A32" s="169" t="s">
        <v>40</v>
      </c>
      <c r="B32" s="37">
        <f>IF( ISERROR(IND_voed_ele_kWh/1000),0,IND_voed_ele_kWh/1000)</f>
        <v>115.398</v>
      </c>
      <c r="C32" s="39">
        <f>IF(ISERROR(B32*3.6/1000000/'E Balans VL '!Z20*100),0,B32*3.6/1000000/'E Balans VL '!Z20*100)</f>
        <v>3.8434386619525551E-3</v>
      </c>
      <c r="D32" s="235" t="s">
        <v>698</v>
      </c>
    </row>
    <row r="33" spans="1:5">
      <c r="A33" s="169" t="s">
        <v>39</v>
      </c>
      <c r="B33" s="37">
        <f>IF( ISERROR(IND_textiel_ele_kWh/1000),0,IND_textiel_ele_kWh/1000)</f>
        <v>233.04499999999999</v>
      </c>
      <c r="C33" s="39">
        <f>IF(ISERROR(B33*3.6/1000000/'E Balans VL '!Z21*100),0,B33*3.6/1000000/'E Balans VL '!Z21*100)</f>
        <v>3.6334681564279735E-2</v>
      </c>
      <c r="D33" s="235" t="s">
        <v>698</v>
      </c>
    </row>
    <row r="34" spans="1:5">
      <c r="A34" s="169" t="s">
        <v>36</v>
      </c>
      <c r="B34" s="37">
        <f>IF( ISERROR(IND_min_ele_kWh/1000),0,IND_min_ele_kWh/1000)</f>
        <v>5751.9870000000001</v>
      </c>
      <c r="C34" s="39">
        <f>IF(ISERROR(B34*3.6/1000000/'E Balans VL '!Z22*100),0,B34*3.6/1000000/'E Balans VL '!Z22*100)</f>
        <v>1.0729398566736936</v>
      </c>
      <c r="D34" s="235" t="s">
        <v>698</v>
      </c>
    </row>
    <row r="35" spans="1:5">
      <c r="A35" s="169" t="s">
        <v>38</v>
      </c>
      <c r="B35" s="37">
        <f>IF( ISERROR(IND_papier_ele_kWh/1000),0,IND_papier_ele_kWh/1000)</f>
        <v>512.78899999999999</v>
      </c>
      <c r="C35" s="39">
        <f>IF(ISERROR(B35*3.6/1000000/'E Balans VL '!Z22*100),0,B35*3.6/1000000/'E Balans VL '!Z22*100)</f>
        <v>9.5652468644982447E-2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0</v>
      </c>
      <c r="C37" s="39">
        <f>IF(ISERROR(B37*3.6/1000000/'E Balans VL '!Z15*100),0,B37*3.6/1000000/'E Balans VL '!Z15*100)</f>
        <v>0</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338.398077</v>
      </c>
      <c r="C5" s="17">
        <f>'Eigen informatie GS &amp; warmtenet'!B62</f>
        <v>0</v>
      </c>
      <c r="D5" s="30">
        <f>IF(ISERROR(SUM(LB_lb_gas_kWh,LB_rest_gas_kWh)/1000),0,SUM(LB_lb_gas_kWh,LB_rest_gas_kWh)/1000)*0.902</f>
        <v>44.907874</v>
      </c>
      <c r="E5" s="17">
        <f>B17*'E Balans VL '!I25/3.6*1000000/100</f>
        <v>10.561292393250815</v>
      </c>
      <c r="F5" s="17">
        <f>B17*('E Balans VL '!L25/3.6*1000000+'E Balans VL '!N25/3.6*1000000)/100</f>
        <v>1195.9362908457279</v>
      </c>
      <c r="G5" s="18"/>
      <c r="H5" s="17"/>
      <c r="I5" s="17"/>
      <c r="J5" s="17">
        <f>('E Balans VL '!D25+'E Balans VL '!E25)/3.6*1000000*landbouw!B17/100</f>
        <v>93.231016983597016</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338.398077</v>
      </c>
      <c r="C8" s="21">
        <f>C5+C6</f>
        <v>0</v>
      </c>
      <c r="D8" s="21">
        <f>MAX((D5+D6),0)</f>
        <v>44.907874</v>
      </c>
      <c r="E8" s="21">
        <f>MAX((E5+E6),0)</f>
        <v>10.561292393250815</v>
      </c>
      <c r="F8" s="21">
        <f>MAX((F5+F6),0)</f>
        <v>1195.9362908457279</v>
      </c>
      <c r="G8" s="21"/>
      <c r="H8" s="21"/>
      <c r="I8" s="21"/>
      <c r="J8" s="21">
        <f>MAX((J5+J6),0)</f>
        <v>93.231016983597016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0.16693808250292691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56.491526097057815</v>
      </c>
      <c r="C12" s="23">
        <f ca="1">C8*C10</f>
        <v>0</v>
      </c>
      <c r="D12" s="23">
        <f>D8*D10</f>
        <v>9.0713905480000001</v>
      </c>
      <c r="E12" s="23">
        <f>E8*E10</f>
        <v>2.397413373267935</v>
      </c>
      <c r="F12" s="23">
        <f>F8*F10</f>
        <v>319.31498965580937</v>
      </c>
      <c r="G12" s="23"/>
      <c r="H12" s="23"/>
      <c r="I12" s="23"/>
      <c r="J12" s="23">
        <f>J8*J10</f>
        <v>33.003780012193339</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5.0305300013249343E-2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49.416766983800535</v>
      </c>
      <c r="C26" s="245">
        <f>B26*'GWP N2O_CH4'!B5</f>
        <v>1037.7521066598113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13.785711072515133</v>
      </c>
      <c r="C27" s="245">
        <f>B27*'GWP N2O_CH4'!B5</f>
        <v>289.4999325228178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0.57074692231535495</v>
      </c>
      <c r="C28" s="245">
        <f>B28*'GWP N2O_CH4'!B4</f>
        <v>176.93154591776005</v>
      </c>
      <c r="D28" s="50"/>
    </row>
    <row r="29" spans="1:4">
      <c r="A29" s="41" t="s">
        <v>271</v>
      </c>
      <c r="B29" s="245">
        <f>B34*'ha_N2O bodem landbouw'!B4</f>
        <v>3.5043496662849356</v>
      </c>
      <c r="C29" s="245">
        <f>B29*'GWP N2O_CH4'!B4</f>
        <v>1086.3483965483301</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7.6844078741921079E-4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2.1054502408362024E-4</v>
      </c>
      <c r="C5" s="433" t="s">
        <v>210</v>
      </c>
      <c r="D5" s="418">
        <f>SUM(D6:D11)</f>
        <v>4.0508043564016873E-4</v>
      </c>
      <c r="E5" s="418">
        <f>SUM(E6:E11)</f>
        <v>3.4630407906529074E-4</v>
      </c>
      <c r="F5" s="431" t="s">
        <v>210</v>
      </c>
      <c r="G5" s="418">
        <f>SUM(G6:G11)</f>
        <v>0.13368069523871995</v>
      </c>
      <c r="H5" s="418">
        <f>SUM(H6:H11)</f>
        <v>3.5829973182507947E-2</v>
      </c>
      <c r="I5" s="433" t="s">
        <v>210</v>
      </c>
      <c r="J5" s="433" t="s">
        <v>210</v>
      </c>
      <c r="K5" s="433" t="s">
        <v>210</v>
      </c>
      <c r="L5" s="433" t="s">
        <v>210</v>
      </c>
      <c r="M5" s="418">
        <f>SUM(M6:M11)</f>
        <v>1.0077915601029941E-2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1.0084093496441006E-4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1.7022930354428672E-4</v>
      </c>
      <c r="E6" s="884">
        <f>vkm_GW_PW*SUMIFS(TableVerdeelsleutelVkm[LPG],TableVerdeelsleutelVkm[Voertuigtype],"Lichte voertuigen")*SUMIFS(TableECFTransport[EnergieConsumptieFactor (PJ per km)],TableECFTransport[Index],CONCATENATE($A6,"_LPG_LPG"))</f>
        <v>1.4916724554089685E-4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4.6596950423161629E-2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1.5184482719569065E-2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3.6913074011927392E-3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6.0263829867291598E-7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2.3001018623067415E-2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3.1972153237503824E-7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1.3258334537823186E-3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1.089549843840204E-4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2.3485113209588198E-4</v>
      </c>
      <c r="E8" s="421">
        <f>vkm_NGW_PW*SUMIFS(TableVerdeelsleutelVkm[LPG],TableVerdeelsleutelVkm[Voertuigtype],"Lichte voertuigen")*SUMIFS(TableECFTransport[EnergieConsumptieFactor (PJ per km)],TableECFTransport[Index],CONCATENATE($A8,"_LPG_LPG"))</f>
        <v>1.9713683352439389E-4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5.6896073601022723E-2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2.0645076948559417E-2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4.6465193912497505E-3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1.4646643651686917E-7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7.1866525914681817E-3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9.3792847094047444E-8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4.1425535480513285E-4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58.484728912116729</v>
      </c>
      <c r="C14" s="21"/>
      <c r="D14" s="21">
        <f t="shared" ref="D14:M14" si="0">((D5)*10^9/3600)+D12</f>
        <v>112.5223432333802</v>
      </c>
      <c r="E14" s="21">
        <f t="shared" si="0"/>
        <v>96.195577518136318</v>
      </c>
      <c r="F14" s="21"/>
      <c r="G14" s="21">
        <f t="shared" si="0"/>
        <v>37133.526455199986</v>
      </c>
      <c r="H14" s="21">
        <f t="shared" si="0"/>
        <v>9952.7703284744293</v>
      </c>
      <c r="I14" s="21"/>
      <c r="J14" s="21"/>
      <c r="K14" s="21"/>
      <c r="L14" s="21"/>
      <c r="M14" s="21">
        <f t="shared" si="0"/>
        <v>2799.421000286095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0.16693808250292691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9.763328500292257</v>
      </c>
      <c r="C18" s="23"/>
      <c r="D18" s="23">
        <f t="shared" ref="D18:M18" si="1">D14*D16</f>
        <v>22.729513333142801</v>
      </c>
      <c r="E18" s="23">
        <f t="shared" si="1"/>
        <v>21.836396096616944</v>
      </c>
      <c r="F18" s="23"/>
      <c r="G18" s="23">
        <f t="shared" si="1"/>
        <v>9914.6515635383967</v>
      </c>
      <c r="H18" s="23">
        <f t="shared" si="1"/>
        <v>2478.239811790133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5.198276150027344E-5</v>
      </c>
      <c r="C50" s="315">
        <f t="shared" ref="C50:P50" si="2">SUM(C51:C52)</f>
        <v>0</v>
      </c>
      <c r="D50" s="315">
        <f t="shared" si="2"/>
        <v>0</v>
      </c>
      <c r="E50" s="315">
        <f t="shared" si="2"/>
        <v>0</v>
      </c>
      <c r="F50" s="315">
        <f t="shared" si="2"/>
        <v>0</v>
      </c>
      <c r="G50" s="315">
        <f t="shared" si="2"/>
        <v>3.7662293633492386E-3</v>
      </c>
      <c r="H50" s="315">
        <f t="shared" si="2"/>
        <v>0</v>
      </c>
      <c r="I50" s="315">
        <f t="shared" si="2"/>
        <v>0</v>
      </c>
      <c r="J50" s="315">
        <f t="shared" si="2"/>
        <v>0</v>
      </c>
      <c r="K50" s="315">
        <f t="shared" si="2"/>
        <v>0</v>
      </c>
      <c r="L50" s="315">
        <f t="shared" si="2"/>
        <v>0</v>
      </c>
      <c r="M50" s="315">
        <f t="shared" si="2"/>
        <v>2.1302914862602134E-4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5.198276150027344E-5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3.7662293633492386E-3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2.1302914862602134E-4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14.439655972298178</v>
      </c>
      <c r="C54" s="21">
        <f t="shared" ref="C54:P54" si="3">(C50)*10^9/3600</f>
        <v>0</v>
      </c>
      <c r="D54" s="21">
        <f t="shared" si="3"/>
        <v>0</v>
      </c>
      <c r="E54" s="21">
        <f t="shared" si="3"/>
        <v>0</v>
      </c>
      <c r="F54" s="21">
        <f t="shared" si="3"/>
        <v>0</v>
      </c>
      <c r="G54" s="21">
        <f t="shared" si="3"/>
        <v>1046.1748231525662</v>
      </c>
      <c r="H54" s="21">
        <f t="shared" si="3"/>
        <v>0</v>
      </c>
      <c r="I54" s="21">
        <f t="shared" si="3"/>
        <v>0</v>
      </c>
      <c r="J54" s="21">
        <f t="shared" si="3"/>
        <v>0</v>
      </c>
      <c r="K54" s="21">
        <f t="shared" si="3"/>
        <v>0</v>
      </c>
      <c r="L54" s="21">
        <f t="shared" si="3"/>
        <v>0</v>
      </c>
      <c r="M54" s="21">
        <f t="shared" si="3"/>
        <v>59.17476350722815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0.16693808250292691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2.4105284800173945</v>
      </c>
      <c r="C58" s="23">
        <f t="shared" ref="C58:P58" ca="1" si="4">C54*C56</f>
        <v>0</v>
      </c>
      <c r="D58" s="23">
        <f t="shared" si="4"/>
        <v>0</v>
      </c>
      <c r="E58" s="23">
        <f t="shared" si="4"/>
        <v>0</v>
      </c>
      <c r="F58" s="23">
        <f t="shared" si="4"/>
        <v>0</v>
      </c>
      <c r="G58" s="23">
        <f t="shared" si="4"/>
        <v>279.32867778173517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12533.221674966033</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12533.221674966033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2021-06-29T15:33:02Z</dcterms:modified>
</cp:coreProperties>
</file>