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29" i="20"/>
  <c r="C17" i="19"/>
  <c r="C19" i="19" s="1"/>
  <c r="D39" i="14" s="1"/>
  <c r="C56" i="22"/>
  <c r="C58" i="22" s="1"/>
  <c r="D49" i="14" s="1"/>
  <c r="D52" i="14" s="1"/>
  <c r="C20" i="16"/>
  <c r="C22" i="16" s="1"/>
  <c r="D43" i="14" s="1"/>
  <c r="C22" i="59"/>
  <c r="C10" i="17"/>
  <c r="C12" i="17" s="1"/>
  <c r="D54" i="14" s="1"/>
  <c r="D56"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<sst xmlns="http://schemas.openxmlformats.org/spreadsheetml/2006/main" count="2502" uniqueCount="919">
  <si>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</si>
  <si>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</si>
  <si>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</si>
  <si>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</si>
  <si>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</si>
  <si>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</si>
  <si>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</si>
  <si>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</si>
  <si>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</si>
  <si>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</si>
  <si>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</si>
  <si>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</si>
  <si>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</si>
  <si>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</si>
  <si>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</si>
  <si>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</si>
  <si>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</si>
  <si>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</si>
  <si>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</si>
  <si>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</si>
  <si>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</si>
  <si>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</si>
  <si>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</si>
  <si>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</si>
  <si>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</si>
  <si>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</si>
  <si>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</si>
  <si>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</si>
  <si>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</si>
  <si>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</si>
  <si>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</si>
  <si>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</si>
  <si>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</si>
  <si>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</si>
  <si>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</si>
  <si>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</si>
  <si>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</si>
  <si>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</si>
  <si>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</si>
  <si>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</si>
  <si>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</si>
  <si>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</si>
  <si>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</si>
  <si>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</si>
  <si>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</si>
  <si>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</si>
  <si>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</si>
  <si>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</si>
  <si>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</si>
  <si>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</si>
  <si>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</si>
  <si>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</si>
  <si>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</si>
  <si>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</si>
  <si>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</si>
  <si>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</si>
  <si>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</si>
  <si>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</si>
  <si>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</si>
  <si>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</si>
  <si>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</si>
  <si>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</si>
  <si>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</si>
  <si>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</si>
  <si>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</si>
  <si>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</si>
  <si>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</si>
  <si>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</si>
  <si>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</si>
  <si>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</si>
  <si>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</si>
  <si>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</si>
  <si>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</si>
  <si>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</si>
  <si>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</si>
  <si>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</si>
  <si>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</si>
  <si>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</si>
  <si>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</si>
  <si>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</si>
  <si>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</si>
  <si>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</si>
  <si>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</si>
  <si>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</si>
  <si>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</si>
  <si>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</si>
  <si>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</si>
  <si>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</si>
  <si>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</si>
  <si>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</si>
  <si>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</si>
  <si>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</si>
  <si>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</si>
  <si>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</si>
  <si>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</si>
  <si>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</si>
  <si>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</si>
  <si>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</si>
  <si>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</si>
  <si>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</si>
  <si>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</si>
  <si>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</si>
  <si>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</si>
  <si>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</si>
  <si>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</si>
  <si>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</si>
  <si>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</si>
  <si>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</si>
  <si>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</si>
  <si>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</si>
  <si>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</si>
  <si>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</si>
  <si>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</si>
  <si>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</si>
  <si>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</si>
  <si>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</si>
  <si>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</si>
  <si>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</si>
  <si>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</si>
  <si>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</si>
  <si>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</si>
  <si>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</si>
  <si>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</si>
  <si>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</si>
  <si>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</si>
  <si>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</si>
  <si>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</si>
  <si>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</si>
  <si>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</si>
  <si>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</si>
  <si>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</si>
  <si>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</si>
  <si>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</si>
  <si>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</si>
  <si>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</si>
  <si>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</si>
  <si>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</si>
  <si>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</si>
  <si>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</si>
  <si>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</si>
  <si>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</si>
  <si>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</si>
  <si>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</si>
  <si>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</si>
  <si>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</si>
  <si>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</si>
  <si>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</si>
  <si>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</si>
  <si>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</si>
  <si>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</si>
  <si>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</si>
  <si>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</si>
  <si>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</si>
  <si>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</si>
  <si>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</si>
  <si>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</si>
  <si>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</si>
  <si>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</si>
  <si>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</si>
  <si>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</si>
  <si>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</si>
  <si>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</si>
  <si>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</si>
  <si>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</si>
  <si>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</si>
  <si>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</si>
  <si>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</si>
  <si>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</si>
  <si>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</si>
  <si>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</si>
  <si>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</si>
  <si>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</si>
  <si>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</si>
  <si>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</si>
  <si>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</si>
  <si>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</si>
  <si>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</si>
  <si>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</si>
  <si>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</si>
  <si>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</si>
  <si>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</si>
  <si>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</si>
  <si>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</si>
  <si>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</si>
  <si>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</si>
  <si>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</si>
  <si>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</si>
  <si>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</si>
  <si>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</si>
  <si>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</si>
  <si>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</si>
  <si>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</si>
  <si>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</si>
  <si>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</si>
  <si>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</si>
  <si>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</si>
  <si>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</si>
  <si>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</si>
  <si>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</si>
  <si>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</si>
  <si>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</si>
  <si>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</si>
  <si>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</si>
  <si>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</si>
  <si>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</si>
  <si>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</si>
  <si>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</si>
  <si>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</si>
  <si>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</si>
  <si>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</si>
  <si>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</si>
  <si>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</si>
  <si>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</si>
  <si>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</si>
  <si>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</si>
  <si>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</si>
  <si>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</si>
  <si>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</si>
  <si>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</si>
  <si>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</si>
  <si>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</si>
  <si>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</si>
  <si>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</si>
  <si>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</si>
  <si>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</si>
  <si>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</si>
  <si>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</si>
  <si>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</si>
  <si>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</si>
  <si>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</si>
  <si>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</si>
  <si>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</si>
  <si>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</si>
  <si>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</si>
  <si>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</si>
  <si>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</si>
  <si>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</si>
  <si>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</si>
  <si>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</si>
  <si>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</si>
  <si>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</si>
  <si>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</si>
  <si>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</si>
  <si>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</si>
  <si>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</si>
  <si>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</si>
  <si>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</si>
  <si>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</si>
  <si>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</si>
  <si>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</si>
  <si>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</si>
  <si>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</si>
  <si>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</si>
  <si>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</si>
  <si>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</si>
  <si>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</si>
  <si>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</si>
  <si>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</si>
  <si>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</si>
  <si>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</si>
  <si>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</si>
  <si>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</si>
  <si>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</si>
  <si>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</si>
  <si>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</si>
  <si>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</si>
  <si>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</si>
  <si>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</si>
  <si>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</si>
  <si>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</si>
  <si>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</si>
  <si>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</si>
  <si>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</si>
  <si>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</si>
  <si>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</si>
  <si>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</si>
  <si>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</si>
  <si>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</si>
  <si>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</si>
  <si>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</si>
  <si>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</si>
  <si>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</si>
  <si>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</si>
  <si>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</si>
  <si>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</si>
  <si>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</si>
  <si>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</si>
  <si>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</si>
  <si>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</si>
  <si>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</si>
  <si>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</si>
  <si>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</si>
  <si>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</si>
  <si>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</si>
  <si>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</si>
  <si>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</si>
  <si>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</si>
  <si>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</si>
  <si>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</si>
  <si>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</si>
  <si>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</si>
  <si>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</si>
  <si>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</si>
  <si>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</si>
  <si>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</si>
  <si>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</si>
  <si>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</si>
  <si>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</si>
  <si>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</si>
  <si>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</si>
  <si>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</si>
  <si>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</si>
  <si>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</si>
  <si>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</si>
  <si>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</si>
  <si>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</si>
  <si>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</si>
  <si>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</si>
  <si>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</si>
  <si>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</si>
  <si>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</si>
  <si>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</si>
  <si>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</si>
  <si>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</si>
  <si>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</si>
  <si>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</si>
  <si>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</si>
  <si>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</si>
  <si>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</si>
  <si>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</si>
  <si>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</si>
  <si>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</si>
  <si>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</si>
  <si>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</si>
  <si>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</si>
  <si>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</si>
  <si>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</si>
  <si>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</si>
  <si>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</si>
  <si>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</si>
  <si>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</si>
  <si>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</si>
  <si>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</si>
  <si>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</si>
  <si>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</si>
  <si>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</si>
  <si>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</si>
  <si>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</si>
  <si>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</si>
  <si>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</si>
  <si>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</si>
  <si>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</si>
  <si>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</si>
  <si>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</si>
  <si>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</si>
  <si>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</si>
  <si>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</si>
  <si>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</si>
  <si>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</si>
  <si>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</si>
  <si>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</si>
  <si>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</si>
  <si>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</si>
  <si>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</si>
  <si>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</si>
  <si>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</si>
  <si>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</si>
  <si>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</si>
  <si>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</si>
  <si>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</si>
  <si>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</si>
  <si>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</si>
  <si>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</si>
  <si>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</si>
  <si>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</si>
  <si>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</si>
  <si>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</si>
  <si>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</si>
  <si>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</si>
  <si>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</si>
  <si>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</si>
  <si>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</si>
  <si>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</si>
  <si>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</si>
  <si>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</si>
  <si>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</si>
  <si>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</si>
  <si>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</si>
  <si>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</si>
  <si>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</si>
  <si>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</si>
  <si>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</si>
  <si>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</si>
  <si>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</si>
  <si>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</si>
  <si>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</si>
  <si>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</si>
  <si>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</si>
  <si>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</si>
  <si>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</si>
  <si>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</si>
  <si>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</si>
  <si>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</si>
  <si>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</si>
  <si>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</si>
  <si>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</si>
  <si>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</si>
  <si>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</si>
  <si>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</si>
  <si>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</si>
  <si>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</si>
  <si>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</si>
  <si>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</si>
  <si>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</si>
  <si>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</si>
  <si>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</si>
  <si>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</si>
  <si>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</si>
  <si>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</si>
  <si>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</si>
  <si>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</si>
  <si>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</si>
  <si>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</si>
  <si>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</si>
  <si>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</si>
  <si>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</si>
  <si>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</si>
  <si>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</si>
  <si>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</si>
  <si>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</si>
  <si>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</si>
  <si>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</si>
  <si>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</si>
  <si>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</si>
  <si>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</si>
  <si>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</si>
  <si>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</si>
  <si>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</si>
  <si>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</si>
  <si>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</si>
  <si>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</si>
  <si>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</si>
  <si>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</si>
  <si>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</si>
  <si>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</si>
  <si>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</si>
  <si>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</si>
  <si>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</si>
  <si>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</si>
  <si>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</si>
  <si>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</si>
  <si>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</si>
  <si>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</si>
  <si>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</si>
  <si>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</si>
  <si>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</si>
  <si>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</si>
  <si>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</si>
  <si>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</si>
  <si>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</si>
  <si>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</si>
  <si>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</si>
  <si>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</si>
  <si>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</si>
  <si>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</si>
  <si>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</si>
  <si>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</si>
  <si>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</si>
  <si>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</si>
  <si>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</si>
  <si>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</si>
  <si>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</si>
  <si>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</si>
  <si>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</si>
  <si>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</si>
  <si>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</si>
  <si>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</si>
  <si>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</si>
  <si>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</si>
  <si>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</si>
  <si>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</si>
  <si>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</si>
  <si>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</si>
  <si>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</si>
  <si>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</si>
  <si>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</si>
  <si>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</si>
  <si>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</si>
  <si>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</si>
  <si>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</si>
  <si>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</si>
  <si>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</si>
  <si>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</si>
  <si>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</si>
  <si>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</si>
  <si>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</si>
  <si>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</si>
  <si>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</si>
  <si>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</si>
  <si>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</si>
  <si>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</si>
  <si>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</si>
  <si>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</si>
  <si>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</si>
  <si>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</si>
  <si>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</si>
  <si>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</si>
  <si>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</si>
  <si>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</si>
  <si>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</si>
  <si>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</si>
  <si>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</si>
  <si>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</si>
  <si>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</si>
  <si>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</si>
  <si>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</si>
  <si>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</si>
  <si>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</si>
  <si>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</si>
  <si>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</si>
  <si>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</si>
  <si>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</si>
  <si>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</si>
  <si>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</si>
  <si>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</si>
  <si>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</si>
  <si>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</si>
  <si>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</si>
  <si>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</si>
  <si>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</si>
  <si>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</si>
  <si>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</si>
  <si>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</si>
  <si>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</si>
  <si>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</si>
  <si>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</si>
  <si>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</si>
  <si>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</si>
  <si>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</si>
  <si>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</si>
  <si>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</si>
  <si>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</si>
  <si>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</si>
  <si>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</si>
  <si>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</si>
  <si>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</si>
  <si>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</si>
  <si>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</si>
  <si>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</si>
  <si>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</si>
  <si>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</si>
  <si>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</si>
  <si>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</si>
  <si>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</si>
  <si>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</si>
  <si>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</si>
  <si>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</si>
  <si>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</si>
  <si>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</si>
  <si>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</si>
  <si>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</si>
  <si>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</si>
  <si>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</si>
  <si>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</si>
  <si>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</si>
  <si>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</si>
  <si>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</si>
  <si>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</si>
  <si>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</si>
  <si>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</si>
  <si>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</si>
  <si>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</si>
  <si>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</si>
  <si>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</si>
  <si>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</si>
  <si>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</si>
  <si>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</si>
  <si>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</si>
  <si>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</si>
  <si>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</si>
  <si>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</si>
  <si>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</si>
  <si>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</si>
  <si>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</si>
  <si>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</si>
  <si>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</si>
  <si>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</si>
  <si>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</si>
  <si>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</si>
  <si>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</si>
  <si>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</si>
  <si>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</si>
  <si>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</si>
  <si>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</si>
  <si>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</si>
  <si>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</si>
  <si>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</si>
  <si>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</si>
  <si>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</si>
  <si>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</si>
  <si>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</si>
  <si>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</si>
  <si>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</si>
  <si>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</si>
  <si>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</si>
  <si>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</si>
  <si>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</si>
  <si>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</si>
  <si>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</si>
  <si>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</si>
  <si>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</si>
  <si>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</si>
  <si>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</si>
  <si>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</si>
  <si>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</si>
  <si>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</si>
  <si>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</si>
  <si>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</si>
  <si>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</si>
  <si>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</si>
  <si>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</si>
  <si>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</si>
  <si>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</si>
  <si>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</si>
  <si>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</si>
  <si>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</si>
  <si>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</si>
  <si>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</si>
  <si>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</si>
  <si>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</si>
  <si>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</si>
  <si>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</si>
  <si>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</si>
  <si>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</si>
  <si>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</si>
  <si>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</si>
  <si>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</si>
  <si>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</si>
  <si>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</si>
  <si>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</si>
  <si>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</si>
  <si>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</si>
  <si>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</si>
  <si>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</si>
  <si>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</si>
  <si>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</si>
  <si>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</si>
  <si>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</si>
  <si>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</si>
  <si>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</si>
  <si>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</si>
  <si>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</si>
  <si>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</si>
  <si>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</si>
  <si>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</si>
  <si>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</si>
  <si>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</si>
  <si>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</si>
  <si>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</si>
  <si>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</si>
  <si>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</si>
  <si>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</si>
  <si>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</si>
  <si>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</si>
  <si>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</si>
  <si>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</si>
  <si>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</si>
  <si>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</si>
  <si>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</si>
  <si>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</si>
  <si>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</si>
  <si>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</si>
  <si>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</si>
  <si>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</si>
  <si>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</si>
  <si>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</si>
  <si>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</si>
  <si>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</si>
  <si>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</si>
  <si>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</si>
  <si>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</si>
  <si>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</si>
  <si>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</si>
  <si>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</si>
  <si>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</si>
  <si>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</si>
  <si>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</si>
  <si>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</si>
  <si>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</si>
  <si>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</si>
  <si>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</si>
  <si>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</si>
  <si>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</si>
  <si>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</si>
  <si>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</si>
  <si>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</si>
  <si>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</si>
  <si>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</si>
  <si>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</si>
  <si>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</si>
  <si>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</si>
  <si>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</si>
  <si>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</si>
  <si>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</si>
  <si>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</si>
  <si>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</si>
  <si>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</si>
  <si>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</si>
  <si>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</si>
  <si>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</si>
  <si>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</si>
  <si>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</si>
  <si>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</si>
  <si>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</si>
  <si>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</si>
  <si>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</si>
  <si>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</si>
  <si>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</si>
  <si>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</si>
  <si>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</si>
  <si>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</si>
  <si>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</si>
  <si>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</si>
  <si>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</si>
  <si>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</si>
  <si>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</si>
  <si>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</si>
  <si>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</si>
  <si>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</si>
  <si>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</si>
  <si>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</si>
  <si>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</si>
  <si>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</si>
  <si>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</si>
  <si>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</si>
  <si>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</si>
  <si>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</si>
  <si>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</si>
  <si>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</si>
  <si>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</si>
  <si>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</si>
  <si>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</si>
  <si>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</si>
  <si>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</si>
  <si>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</si>
  <si>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</si>
  <si>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</si>
  <si>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</si>
  <si>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</si>
  <si>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</si>
  <si>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</si>
  <si>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</si>
  <si>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</si>
  <si>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</si>
  <si>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</si>
  <si>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</si>
  <si>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</si>
  <si>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</si>
  <si>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</si>
  <si>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</si>
  <si>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</si>
  <si>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</si>
  <si>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</si>
  <si>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</si>
  <si>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</si>
  <si>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</si>
  <si>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</si>
  <si>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</si>
  <si>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</si>
  <si>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</si>
  <si>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</si>
  <si>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</si>
  <si>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</si>
  <si>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</si>
  <si>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</si>
  <si>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</si>
  <si>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</si>
  <si>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</si>
  <si>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</si>
  <si>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</si>
  <si>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</si>
  <si>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</si>
  <si>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</si>
  <si>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</si>
  <si>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</si>
  <si>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</si>
  <si>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</si>
  <si>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</si>
  <si>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</si>
  <si>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</si>
  <si>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</si>
  <si>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</si>
  <si>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</si>
  <si>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</si>
  <si>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</si>
  <si>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</si>
  <si>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</si>
  <si>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</si>
  <si>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</si>
  <si>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</si>
  <si>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</si>
  <si>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</si>
  <si>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</si>
  <si>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</si>
  <si>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</si>
  <si>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</si>
  <si>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</si>
  <si>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</si>
  <si>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</si>
  <si>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</si>
  <si>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</si>
  <si>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</si>
  <si>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</si>
  <si>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</si>
  <si>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</si>
  <si>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</si>
  <si>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</si>
  <si>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</si>
  <si>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</si>
  <si>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</si>
  <si>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</si>
  <si>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</si>
  <si>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</si>
  <si>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</si>
  <si>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</si>
  <si>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</si>
  <si>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</si>
  <si>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</si>
  <si>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</si>
  <si>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</si>
  <si>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</si>
  <si>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</si>
  <si>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</si>
  <si>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</si>
  <si>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</si>
  <si>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</si>
  <si>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</si>
  <si>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</si>
  <si>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</si>
  <si>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</si>
  <si>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</si>
  <si>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</si>
  <si>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</si>
  <si>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</si>
  <si>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</si>
  <si>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</si>
  <si>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</si>
  <si>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</si>
  <si>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</si>
  <si>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</si>
  <si>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</si>
  <si>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</si>
  <si>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</si>
  <si>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</si>
  <si>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</si>
  <si>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</si>
  <si>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</si>
  <si>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</si>
  <si>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</si>
  <si>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</si>
  <si>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</si>
  <si>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</si>
  <si>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</si>
  <si>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</si>
  <si>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</si>
  <si>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</si>
  <si>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</si>
  <si>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</si>
  <si>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</si>
  <si>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</si>
  <si>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</si>
  <si>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</si>
  <si>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</si>
  <si>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</si>
  <si>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</si>
  <si>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</si>
  <si>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</si>
  <si>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</si>
  <si>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</si>
  <si>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</si>
  <si>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</si>
  <si>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</si>
  <si>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</si>
  <si>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</si>
  <si>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</si>
  <si>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</si>
  <si>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</si>
  <si>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</si>
  <si>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</si>
  <si>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</si>
  <si>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</si>
  <si>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</si>
  <si>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</si>
  <si>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</si>
  <si>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</si>
  <si>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</si>
  <si>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</si>
  <si>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</si>
  <si>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</si>
  <si>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</si>
  <si>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</si>
  <si>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</si>
  <si>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</si>
  <si>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71016</t>
  </si>
  <si>
    <t>GENK</t>
  </si>
  <si>
    <t>referentietaak LNE (2017); Jaarverslag De Lijn</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</si>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</sst>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537073.52134210931</c:v>
                </c:pt>
                <c:pt idx="1">
                  <c:v>321703.19799623563</c:v>
                </c:pt>
                <c:pt idx="2">
                  <c:v>4387.5720000000001</c:v>
                </c:pt>
                <c:pt idx="3">
                  <c:v>1864.8181212674201</c:v>
                </c:pt>
                <c:pt idx="4">
                  <c:v>444313.64227307524</c:v>
                </c:pt>
                <c:pt idx="5">
                  <c:v>360666.64910239907</c:v>
                </c:pt>
                <c:pt idx="6">
                  <c:v>14613.172067353691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537073.52134210931</c:v>
                </c:pt>
                <c:pt idx="1">
                  <c:v>321703.19799623563</c:v>
                </c:pt>
                <c:pt idx="2">
                  <c:v>4387.5720000000001</c:v>
                </c:pt>
                <c:pt idx="3">
                  <c:v>1864.8181212674201</c:v>
                </c:pt>
                <c:pt idx="4">
                  <c:v>444313.64227307524</c:v>
                </c:pt>
                <c:pt idx="5">
                  <c:v>360666.64910239907</c:v>
                </c:pt>
                <c:pt idx="6">
                  <c:v>14613.172067353691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109373.82115721378</c:v>
                </c:pt>
                <c:pt idx="1">
                  <c:v>60067.159746766461</c:v>
                </c:pt>
                <c:pt idx="2">
                  <c:v>766.01122567185371</c:v>
                </c:pt>
                <c:pt idx="3">
                  <c:v>458.9720143654655</c:v>
                </c:pt>
                <c:pt idx="4">
                  <c:v>89062.953031761353</c:v>
                </c:pt>
                <c:pt idx="5">
                  <c:v>89795.916399647715</c:v>
                </c:pt>
                <c:pt idx="6">
                  <c:v>3678.1183880838048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109373.82115721378</c:v>
                </c:pt>
                <c:pt idx="1">
                  <c:v>60067.159746766461</c:v>
                </c:pt>
                <c:pt idx="2">
                  <c:v>766.01122567185371</c:v>
                </c:pt>
                <c:pt idx="3">
                  <c:v>458.9720143654655</c:v>
                </c:pt>
                <c:pt idx="4">
                  <c:v>89062.953031761353</c:v>
                </c:pt>
                <c:pt idx="5">
                  <c:v>89795.916399647715</c:v>
                </c:pt>
                <c:pt idx="6">
                  <c:v>3678.1183880838048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71016</v>
      </c>
      <c r="B6" s="386"/>
      <c r="C6" s="387"/>
    </row>
    <row r="7" spans="1:7" s="384" customFormat="1" ht="15.75" customHeight="1">
      <c r="A7" s="388" t="str">
        <f>txtMunicipality</f>
        <v>GENK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166889.34973399999</v>
      </c>
      <c r="D10" s="681">
        <f ca="1">tertiair!C16</f>
        <v>96.428571428571431</v>
      </c>
      <c r="E10" s="681">
        <f ca="1">tertiair!D16</f>
        <v>131063.71256778286</v>
      </c>
      <c r="F10" s="681">
        <f>tertiair!E16</f>
        <v>2105.8830285375639</v>
      </c>
      <c r="G10" s="681">
        <f ca="1">tertiair!F16</f>
        <v>17680.136617965705</v>
      </c>
      <c r="H10" s="681">
        <f>tertiair!G16</f>
        <v>0</v>
      </c>
      <c r="I10" s="681">
        <f>tertiair!H16</f>
        <v>0</v>
      </c>
      <c r="J10" s="681">
        <f>tertiair!I16</f>
        <v>0</v>
      </c>
      <c r="K10" s="681">
        <f>tertiair!J16</f>
        <v>0.31349417989100925</v>
      </c>
      <c r="L10" s="681">
        <f>tertiair!K16</f>
        <v>0</v>
      </c>
      <c r="M10" s="681">
        <f ca="1">tertiair!L16</f>
        <v>0</v>
      </c>
      <c r="N10" s="681">
        <f>tertiair!M16</f>
        <v>0</v>
      </c>
      <c r="O10" s="681">
        <f ca="1">tertiair!N16</f>
        <v>7862.6857103664306</v>
      </c>
      <c r="P10" s="681">
        <f>tertiair!O16</f>
        <v>24.486303829205774</v>
      </c>
      <c r="Q10" s="682">
        <f>tertiair!P16</f>
        <v>367.77396814546512</v>
      </c>
      <c r="R10" s="684">
        <f ca="1">SUM(C10:Q10)</f>
        <v>326090.76999623561</v>
      </c>
      <c r="S10" s="67"/>
    </row>
    <row r="11" spans="1:19" s="444" customFormat="1">
      <c r="A11" s="802" t="s">
        <v>219</v>
      </c>
      <c r="B11" s="807"/>
      <c r="C11" s="681">
        <f>huishoudens!B8</f>
        <v>118943.49049872125</v>
      </c>
      <c r="D11" s="681">
        <f>huishoudens!C8</f>
        <v>0</v>
      </c>
      <c r="E11" s="681">
        <f>huishoudens!D8</f>
        <v>179000.545726376</v>
      </c>
      <c r="F11" s="681">
        <f>huishoudens!E8</f>
        <v>11516.804641336985</v>
      </c>
      <c r="G11" s="681">
        <f>huishoudens!F8</f>
        <v>185666.24048853372</v>
      </c>
      <c r="H11" s="681">
        <f>huishoudens!G8</f>
        <v>0</v>
      </c>
      <c r="I11" s="681">
        <f>huishoudens!H8</f>
        <v>0</v>
      </c>
      <c r="J11" s="681">
        <f>huishoudens!I8</f>
        <v>0</v>
      </c>
      <c r="K11" s="681">
        <f>huishoudens!J8</f>
        <v>741.72844506931733</v>
      </c>
      <c r="L11" s="681">
        <f>huishoudens!K8</f>
        <v>0</v>
      </c>
      <c r="M11" s="681">
        <f>huishoudens!L8</f>
        <v>0</v>
      </c>
      <c r="N11" s="681">
        <f>huishoudens!M8</f>
        <v>0</v>
      </c>
      <c r="O11" s="681">
        <f>huishoudens!N8</f>
        <v>37351.04627236454</v>
      </c>
      <c r="P11" s="681">
        <f>huishoudens!O8</f>
        <v>1968.0865536319354</v>
      </c>
      <c r="Q11" s="682">
        <f>huishoudens!P8</f>
        <v>1885.578716075619</v>
      </c>
      <c r="R11" s="684">
        <f>SUM(C11:Q11)</f>
        <v>537073.52134210931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227004.48597799998</v>
      </c>
      <c r="D13" s="681">
        <f>industrie!C18</f>
        <v>0</v>
      </c>
      <c r="E13" s="681">
        <f>industrie!D18</f>
        <v>73357.810632106004</v>
      </c>
      <c r="F13" s="681">
        <f>industrie!E18</f>
        <v>32324.546585709322</v>
      </c>
      <c r="G13" s="681">
        <f>industrie!F18</f>
        <v>99835.892879776817</v>
      </c>
      <c r="H13" s="681">
        <f>industrie!G18</f>
        <v>0</v>
      </c>
      <c r="I13" s="681">
        <f>industrie!H18</f>
        <v>0</v>
      </c>
      <c r="J13" s="681">
        <f>industrie!I18</f>
        <v>0</v>
      </c>
      <c r="K13" s="681">
        <f>industrie!J18</f>
        <v>1748.2517294622505</v>
      </c>
      <c r="L13" s="681">
        <f>industrie!K18</f>
        <v>0</v>
      </c>
      <c r="M13" s="681">
        <f>industrie!L18</f>
        <v>0</v>
      </c>
      <c r="N13" s="681">
        <f>industrie!M18</f>
        <v>0</v>
      </c>
      <c r="O13" s="681">
        <f>industrie!N18</f>
        <v>10042.654468020855</v>
      </c>
      <c r="P13" s="681">
        <f>industrie!O18</f>
        <v>0</v>
      </c>
      <c r="Q13" s="682">
        <f>industrie!P18</f>
        <v>0</v>
      </c>
      <c r="R13" s="684">
        <f>SUM(C13:Q13)</f>
        <v>444313.64227307524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512837.32621072122</v>
      </c>
      <c r="D16" s="717">
        <f t="shared" ref="D16:R16" ca="1" si="0">SUM(D9:D15)</f>
        <v>96.428571428571431</v>
      </c>
      <c r="E16" s="717">
        <f t="shared" ca="1" si="0"/>
        <v>383422.06892626488</v>
      </c>
      <c r="F16" s="717">
        <f t="shared" si="0"/>
        <v>45947.23425558387</v>
      </c>
      <c r="G16" s="717">
        <f t="shared" ca="1" si="0"/>
        <v>303182.26998627622</v>
      </c>
      <c r="H16" s="717">
        <f t="shared" si="0"/>
        <v>0</v>
      </c>
      <c r="I16" s="717">
        <f t="shared" si="0"/>
        <v>0</v>
      </c>
      <c r="J16" s="717">
        <f t="shared" si="0"/>
        <v>0</v>
      </c>
      <c r="K16" s="717">
        <f t="shared" si="0"/>
        <v>2490.2936687114588</v>
      </c>
      <c r="L16" s="717">
        <f t="shared" si="0"/>
        <v>0</v>
      </c>
      <c r="M16" s="717">
        <f t="shared" ca="1" si="0"/>
        <v>0</v>
      </c>
      <c r="N16" s="717">
        <f t="shared" si="0"/>
        <v>0</v>
      </c>
      <c r="O16" s="717">
        <f t="shared" ca="1" si="0"/>
        <v>55256.386450751823</v>
      </c>
      <c r="P16" s="717">
        <f t="shared" si="0"/>
        <v>1992.5728574611412</v>
      </c>
      <c r="Q16" s="717">
        <f t="shared" si="0"/>
        <v>2253.352684221084</v>
      </c>
      <c r="R16" s="717">
        <f t="shared" ca="1" si="0"/>
        <v>1307477.9336114202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188.43651044602137</v>
      </c>
      <c r="D19" s="681">
        <f>transport!C54</f>
        <v>0</v>
      </c>
      <c r="E19" s="681">
        <f>transport!D54</f>
        <v>0</v>
      </c>
      <c r="F19" s="681">
        <f>transport!E54</f>
        <v>0</v>
      </c>
      <c r="G19" s="681">
        <f>transport!F54</f>
        <v>0</v>
      </c>
      <c r="H19" s="681">
        <f>transport!G54</f>
        <v>13652.50899118043</v>
      </c>
      <c r="I19" s="681">
        <f>transport!H54</f>
        <v>0</v>
      </c>
      <c r="J19" s="681">
        <f>transport!I54</f>
        <v>0</v>
      </c>
      <c r="K19" s="681">
        <f>transport!J54</f>
        <v>0</v>
      </c>
      <c r="L19" s="681">
        <f>transport!K54</f>
        <v>0</v>
      </c>
      <c r="M19" s="681">
        <f>transport!L54</f>
        <v>0</v>
      </c>
      <c r="N19" s="681">
        <f>transport!M54</f>
        <v>772.22656572723918</v>
      </c>
      <c r="O19" s="681">
        <f>transport!N54</f>
        <v>0</v>
      </c>
      <c r="P19" s="681">
        <f>transport!O54</f>
        <v>0</v>
      </c>
      <c r="Q19" s="682">
        <f>transport!P54</f>
        <v>0</v>
      </c>
      <c r="R19" s="684">
        <f>SUM(C19:Q19)</f>
        <v>14613.172067353691</v>
      </c>
      <c r="S19" s="67"/>
    </row>
    <row r="20" spans="1:19" s="444" customFormat="1">
      <c r="A20" s="802" t="s">
        <v>301</v>
      </c>
      <c r="B20" s="807"/>
      <c r="C20" s="681">
        <f>transport!B14</f>
        <v>402.79483985648005</v>
      </c>
      <c r="D20" s="681">
        <f>transport!C14</f>
        <v>0</v>
      </c>
      <c r="E20" s="681">
        <f>transport!D14</f>
        <v>643.42318347291996</v>
      </c>
      <c r="F20" s="681">
        <f>transport!E14</f>
        <v>607.00181318370562</v>
      </c>
      <c r="G20" s="681">
        <f>transport!F14</f>
        <v>0</v>
      </c>
      <c r="H20" s="681">
        <f>transport!G14</f>
        <v>280723.10651101585</v>
      </c>
      <c r="I20" s="681">
        <f>transport!H14</f>
        <v>58252.062207806266</v>
      </c>
      <c r="J20" s="681">
        <f>transport!I14</f>
        <v>0</v>
      </c>
      <c r="K20" s="681">
        <f>transport!J14</f>
        <v>0</v>
      </c>
      <c r="L20" s="681">
        <f>transport!K14</f>
        <v>0</v>
      </c>
      <c r="M20" s="681">
        <f>transport!L14</f>
        <v>0</v>
      </c>
      <c r="N20" s="681">
        <f>transport!M14</f>
        <v>20038.260547063848</v>
      </c>
      <c r="O20" s="681">
        <f>transport!N14</f>
        <v>0</v>
      </c>
      <c r="P20" s="681">
        <f>transport!O14</f>
        <v>0</v>
      </c>
      <c r="Q20" s="682">
        <f>transport!P14</f>
        <v>0</v>
      </c>
      <c r="R20" s="684">
        <f>SUM(C20:Q20)</f>
        <v>360666.64910239907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591.23135030250137</v>
      </c>
      <c r="D22" s="805">
        <f t="shared" ref="D22:R22" si="1">SUM(D18:D21)</f>
        <v>0</v>
      </c>
      <c r="E22" s="805">
        <f t="shared" si="1"/>
        <v>643.42318347291996</v>
      </c>
      <c r="F22" s="805">
        <f t="shared" si="1"/>
        <v>607.00181318370562</v>
      </c>
      <c r="G22" s="805">
        <f t="shared" si="1"/>
        <v>0</v>
      </c>
      <c r="H22" s="805">
        <f t="shared" si="1"/>
        <v>294375.61550219631</v>
      </c>
      <c r="I22" s="805">
        <f t="shared" si="1"/>
        <v>58252.062207806266</v>
      </c>
      <c r="J22" s="805">
        <f t="shared" si="1"/>
        <v>0</v>
      </c>
      <c r="K22" s="805">
        <f t="shared" si="1"/>
        <v>0</v>
      </c>
      <c r="L22" s="805">
        <f t="shared" si="1"/>
        <v>0</v>
      </c>
      <c r="M22" s="805">
        <f t="shared" si="1"/>
        <v>0</v>
      </c>
      <c r="N22" s="805">
        <f t="shared" si="1"/>
        <v>20810.487112791088</v>
      </c>
      <c r="O22" s="805">
        <f t="shared" si="1"/>
        <v>0</v>
      </c>
      <c r="P22" s="805">
        <f t="shared" si="1"/>
        <v>0</v>
      </c>
      <c r="Q22" s="805">
        <f t="shared" si="1"/>
        <v>0</v>
      </c>
      <c r="R22" s="805">
        <f t="shared" si="1"/>
        <v>375279.82116975274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335.88499999999999</v>
      </c>
      <c r="D24" s="681">
        <f>+landbouw!C8</f>
        <v>0</v>
      </c>
      <c r="E24" s="681">
        <f>+landbouw!D8</f>
        <v>238.85681600000001</v>
      </c>
      <c r="F24" s="681">
        <f>+landbouw!E8</f>
        <v>10.482860088791375</v>
      </c>
      <c r="G24" s="681">
        <f>+landbouw!F8</f>
        <v>1187.054798336568</v>
      </c>
      <c r="H24" s="681">
        <f>+landbouw!G8</f>
        <v>0</v>
      </c>
      <c r="I24" s="681">
        <f>+landbouw!H8</f>
        <v>0</v>
      </c>
      <c r="J24" s="681">
        <f>+landbouw!I8</f>
        <v>0</v>
      </c>
      <c r="K24" s="681">
        <f>+landbouw!J8</f>
        <v>92.538646842060786</v>
      </c>
      <c r="L24" s="681">
        <f>+landbouw!K8</f>
        <v>0</v>
      </c>
      <c r="M24" s="681">
        <f>+landbouw!L8</f>
        <v>0</v>
      </c>
      <c r="N24" s="681">
        <f>+landbouw!M8</f>
        <v>0</v>
      </c>
      <c r="O24" s="681">
        <f>+landbouw!N8</f>
        <v>0</v>
      </c>
      <c r="P24" s="681">
        <f>+landbouw!O8</f>
        <v>0</v>
      </c>
      <c r="Q24" s="682">
        <f>+landbouw!P8</f>
        <v>0</v>
      </c>
      <c r="R24" s="684">
        <f>SUM(C24:Q24)</f>
        <v>1864.8181212674201</v>
      </c>
      <c r="S24" s="67"/>
    </row>
    <row r="25" spans="1:19" s="444" customFormat="1" ht="15" thickBot="1">
      <c r="A25" s="824" t="s">
        <v>714</v>
      </c>
      <c r="B25" s="943"/>
      <c r="C25" s="944">
        <f>IF(Onbekend_ele_kWh="---",0,Onbekend_ele_kWh)/1000+IF(REST_rest_ele_kWh="---",0,REST_rest_ele_kWh)/1000</f>
        <v>6730.3122000000003</v>
      </c>
      <c r="D25" s="944"/>
      <c r="E25" s="944">
        <f>IF(onbekend_gas_kWh="---",0,onbekend_gas_kWh)/1000+IF(REST_rest_gas_kWh="---",0,REST_rest_gas_kWh)/1000</f>
        <v>10869.674971</v>
      </c>
      <c r="F25" s="944"/>
      <c r="G25" s="944"/>
      <c r="H25" s="944"/>
      <c r="I25" s="944"/>
      <c r="J25" s="944"/>
      <c r="K25" s="944"/>
      <c r="L25" s="944"/>
      <c r="M25" s="944"/>
      <c r="N25" s="944"/>
      <c r="O25" s="944"/>
      <c r="P25" s="944"/>
      <c r="Q25" s="945"/>
      <c r="R25" s="684">
        <f>SUM(C25:Q25)</f>
        <v>17599.987171000001</v>
      </c>
      <c r="S25" s="67"/>
    </row>
    <row r="26" spans="1:19" s="444" customFormat="1" ht="15.75" thickBot="1">
      <c r="A26" s="689" t="s">
        <v>715</v>
      </c>
      <c r="B26" s="810"/>
      <c r="C26" s="805">
        <f>SUM(C24:C25)</f>
        <v>7066.1972000000005</v>
      </c>
      <c r="D26" s="805">
        <f t="shared" ref="D26:R26" si="2">SUM(D24:D25)</f>
        <v>0</v>
      </c>
      <c r="E26" s="805">
        <f t="shared" si="2"/>
        <v>11108.531787</v>
      </c>
      <c r="F26" s="805">
        <f t="shared" si="2"/>
        <v>10.482860088791375</v>
      </c>
      <c r="G26" s="805">
        <f t="shared" si="2"/>
        <v>1187.054798336568</v>
      </c>
      <c r="H26" s="805">
        <f t="shared" si="2"/>
        <v>0</v>
      </c>
      <c r="I26" s="805">
        <f t="shared" si="2"/>
        <v>0</v>
      </c>
      <c r="J26" s="805">
        <f t="shared" si="2"/>
        <v>0</v>
      </c>
      <c r="K26" s="805">
        <f t="shared" si="2"/>
        <v>92.538646842060786</v>
      </c>
      <c r="L26" s="805">
        <f t="shared" si="2"/>
        <v>0</v>
      </c>
      <c r="M26" s="805">
        <f t="shared" si="2"/>
        <v>0</v>
      </c>
      <c r="N26" s="805">
        <f t="shared" si="2"/>
        <v>0</v>
      </c>
      <c r="O26" s="805">
        <f t="shared" si="2"/>
        <v>0</v>
      </c>
      <c r="P26" s="805">
        <f t="shared" si="2"/>
        <v>0</v>
      </c>
      <c r="Q26" s="805">
        <f t="shared" si="2"/>
        <v>0</v>
      </c>
      <c r="R26" s="805">
        <f t="shared" si="2"/>
        <v>19464.805292267421</v>
      </c>
      <c r="S26" s="67"/>
    </row>
    <row r="27" spans="1:19" s="444" customFormat="1" ht="17.25" thickTop="1" thickBot="1">
      <c r="A27" s="690" t="s">
        <v>115</v>
      </c>
      <c r="B27" s="797"/>
      <c r="C27" s="691">
        <f ca="1">C22+C16+C26</f>
        <v>520494.75476102374</v>
      </c>
      <c r="D27" s="691">
        <f t="shared" ref="D27:R27" ca="1" si="3">D22+D16+D26</f>
        <v>96.428571428571431</v>
      </c>
      <c r="E27" s="691">
        <f t="shared" ca="1" si="3"/>
        <v>395174.02389673784</v>
      </c>
      <c r="F27" s="691">
        <f t="shared" si="3"/>
        <v>46564.718928856368</v>
      </c>
      <c r="G27" s="691">
        <f t="shared" ca="1" si="3"/>
        <v>304369.32478461281</v>
      </c>
      <c r="H27" s="691">
        <f t="shared" si="3"/>
        <v>294375.61550219631</v>
      </c>
      <c r="I27" s="691">
        <f t="shared" si="3"/>
        <v>58252.062207806266</v>
      </c>
      <c r="J27" s="691">
        <f t="shared" si="3"/>
        <v>0</v>
      </c>
      <c r="K27" s="691">
        <f t="shared" si="3"/>
        <v>2582.8323155535195</v>
      </c>
      <c r="L27" s="691">
        <f t="shared" si="3"/>
        <v>0</v>
      </c>
      <c r="M27" s="691">
        <f t="shared" ca="1" si="3"/>
        <v>0</v>
      </c>
      <c r="N27" s="691">
        <f t="shared" si="3"/>
        <v>20810.487112791088</v>
      </c>
      <c r="O27" s="691">
        <f t="shared" ca="1" si="3"/>
        <v>55256.386450751823</v>
      </c>
      <c r="P27" s="691">
        <f t="shared" si="3"/>
        <v>1992.5728574611412</v>
      </c>
      <c r="Q27" s="691">
        <f t="shared" si="3"/>
        <v>2253.352684221084</v>
      </c>
      <c r="R27" s="691">
        <f t="shared" ca="1" si="3"/>
        <v>1702222.5600734404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29136.642165945075</v>
      </c>
      <c r="D40" s="681">
        <f ca="1">tertiair!C20</f>
        <v>22.915966386554619</v>
      </c>
      <c r="E40" s="681">
        <f ca="1">tertiair!D20</f>
        <v>26474.86993869214</v>
      </c>
      <c r="F40" s="681">
        <f>tertiair!E20</f>
        <v>478.03544747802704</v>
      </c>
      <c r="G40" s="681">
        <f ca="1">tertiair!F20</f>
        <v>4720.5964769968432</v>
      </c>
      <c r="H40" s="681">
        <f>tertiair!G20</f>
        <v>0</v>
      </c>
      <c r="I40" s="681">
        <f>tertiair!H20</f>
        <v>0</v>
      </c>
      <c r="J40" s="681">
        <f>tertiair!I20</f>
        <v>0</v>
      </c>
      <c r="K40" s="681">
        <f>tertiair!J20</f>
        <v>0.11097693968141727</v>
      </c>
      <c r="L40" s="681">
        <f>tertiair!K20</f>
        <v>0</v>
      </c>
      <c r="M40" s="681">
        <f ca="1">tertiair!L20</f>
        <v>0</v>
      </c>
      <c r="N40" s="681">
        <f>tertiair!M20</f>
        <v>0</v>
      </c>
      <c r="O40" s="681">
        <f ca="1">tertiair!N20</f>
        <v>0</v>
      </c>
      <c r="P40" s="681">
        <f>tertiair!O20</f>
        <v>0</v>
      </c>
      <c r="Q40" s="764">
        <f>tertiair!P20</f>
        <v>0</v>
      </c>
      <c r="R40" s="843">
        <f t="shared" ca="1" si="4"/>
        <v>60833.170972438311</v>
      </c>
    </row>
    <row r="41" spans="1:18">
      <c r="A41" s="815" t="s">
        <v>219</v>
      </c>
      <c r="B41" s="822"/>
      <c r="C41" s="681">
        <f ca="1">huishoudens!B12</f>
        <v>20765.938186909283</v>
      </c>
      <c r="D41" s="681">
        <f ca="1">huishoudens!C12</f>
        <v>0</v>
      </c>
      <c r="E41" s="681">
        <f>huishoudens!D12</f>
        <v>36158.110236727953</v>
      </c>
      <c r="F41" s="681">
        <f>huishoudens!E12</f>
        <v>2614.3146535834958</v>
      </c>
      <c r="G41" s="681">
        <f>huishoudens!F12</f>
        <v>49572.886210438504</v>
      </c>
      <c r="H41" s="681">
        <f>huishoudens!G12</f>
        <v>0</v>
      </c>
      <c r="I41" s="681">
        <f>huishoudens!H12</f>
        <v>0</v>
      </c>
      <c r="J41" s="681">
        <f>huishoudens!I12</f>
        <v>0</v>
      </c>
      <c r="K41" s="681">
        <f>huishoudens!J12</f>
        <v>262.5718695545383</v>
      </c>
      <c r="L41" s="681">
        <f>huishoudens!K12</f>
        <v>0</v>
      </c>
      <c r="M41" s="681">
        <f>huishoudens!L12</f>
        <v>0</v>
      </c>
      <c r="N41" s="681">
        <f>huishoudens!M12</f>
        <v>0</v>
      </c>
      <c r="O41" s="681">
        <f>huishoudens!N12</f>
        <v>0</v>
      </c>
      <c r="P41" s="681">
        <f>huishoudens!O12</f>
        <v>0</v>
      </c>
      <c r="Q41" s="764">
        <f>huishoudens!P12</f>
        <v>0</v>
      </c>
      <c r="R41" s="843">
        <f t="shared" ca="1" si="4"/>
        <v>109373.82115721378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39631.938697989885</v>
      </c>
      <c r="D43" s="681">
        <f ca="1">industrie!C22</f>
        <v>0</v>
      </c>
      <c r="E43" s="681">
        <f>industrie!D22</f>
        <v>14818.277747685413</v>
      </c>
      <c r="F43" s="681">
        <f>industrie!E22</f>
        <v>7337.6720749560163</v>
      </c>
      <c r="G43" s="681">
        <f>industrie!F22</f>
        <v>26656.183398900412</v>
      </c>
      <c r="H43" s="681">
        <f>industrie!G22</f>
        <v>0</v>
      </c>
      <c r="I43" s="681">
        <f>industrie!H22</f>
        <v>0</v>
      </c>
      <c r="J43" s="681">
        <f>industrie!I22</f>
        <v>0</v>
      </c>
      <c r="K43" s="681">
        <f>industrie!J22</f>
        <v>618.88111222963664</v>
      </c>
      <c r="L43" s="681">
        <f>industrie!K22</f>
        <v>0</v>
      </c>
      <c r="M43" s="681">
        <f>industrie!L22</f>
        <v>0</v>
      </c>
      <c r="N43" s="681">
        <f>industrie!M22</f>
        <v>0</v>
      </c>
      <c r="O43" s="681">
        <f>industrie!N22</f>
        <v>0</v>
      </c>
      <c r="P43" s="681">
        <f>industrie!O22</f>
        <v>0</v>
      </c>
      <c r="Q43" s="764">
        <f>industrie!P22</f>
        <v>0</v>
      </c>
      <c r="R43" s="842">
        <f t="shared" ca="1" si="4"/>
        <v>89062.953031761353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89534.519050844247</v>
      </c>
      <c r="D46" s="717">
        <f t="shared" ref="D46:Q46" ca="1" si="5">SUM(D39:D45)</f>
        <v>22.915966386554619</v>
      </c>
      <c r="E46" s="717">
        <f t="shared" ca="1" si="5"/>
        <v>77451.257923105499</v>
      </c>
      <c r="F46" s="717">
        <f t="shared" si="5"/>
        <v>10430.022176017539</v>
      </c>
      <c r="G46" s="717">
        <f t="shared" ca="1" si="5"/>
        <v>80949.666086335754</v>
      </c>
      <c r="H46" s="717">
        <f t="shared" si="5"/>
        <v>0</v>
      </c>
      <c r="I46" s="717">
        <f t="shared" si="5"/>
        <v>0</v>
      </c>
      <c r="J46" s="717">
        <f t="shared" si="5"/>
        <v>0</v>
      </c>
      <c r="K46" s="717">
        <f t="shared" si="5"/>
        <v>881.56395872385633</v>
      </c>
      <c r="L46" s="717">
        <f t="shared" si="5"/>
        <v>0</v>
      </c>
      <c r="M46" s="717">
        <f t="shared" ca="1" si="5"/>
        <v>0</v>
      </c>
      <c r="N46" s="717">
        <f t="shared" si="5"/>
        <v>0</v>
      </c>
      <c r="O46" s="717">
        <f t="shared" ca="1" si="5"/>
        <v>0</v>
      </c>
      <c r="P46" s="717">
        <f t="shared" si="5"/>
        <v>0</v>
      </c>
      <c r="Q46" s="717">
        <f t="shared" si="5"/>
        <v>0</v>
      </c>
      <c r="R46" s="717">
        <f ca="1">SUM(R39:R45)</f>
        <v>259269.94516141346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32.898487438629815</v>
      </c>
      <c r="D49" s="681">
        <f ca="1">transport!C58</f>
        <v>0</v>
      </c>
      <c r="E49" s="681">
        <f>transport!D58</f>
        <v>0</v>
      </c>
      <c r="F49" s="681">
        <f>transport!E58</f>
        <v>0</v>
      </c>
      <c r="G49" s="681">
        <f>transport!F58</f>
        <v>0</v>
      </c>
      <c r="H49" s="681">
        <f>transport!G58</f>
        <v>3645.2199006451751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3678.1183880838048</v>
      </c>
    </row>
    <row r="50" spans="1:18">
      <c r="A50" s="818" t="s">
        <v>301</v>
      </c>
      <c r="B50" s="828"/>
      <c r="C50" s="687">
        <f ca="1">transport!B18</f>
        <v>70.322576808485493</v>
      </c>
      <c r="D50" s="687">
        <f>transport!C18</f>
        <v>0</v>
      </c>
      <c r="E50" s="687">
        <f>transport!D18</f>
        <v>129.97148306152985</v>
      </c>
      <c r="F50" s="687">
        <f>transport!E18</f>
        <v>137.78941159270119</v>
      </c>
      <c r="G50" s="687">
        <f>transport!F18</f>
        <v>0</v>
      </c>
      <c r="H50" s="687">
        <f>transport!G18</f>
        <v>74953.069438441235</v>
      </c>
      <c r="I50" s="687">
        <f>transport!H18</f>
        <v>14504.76348974376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89795.916399647715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103.22106424711531</v>
      </c>
      <c r="D52" s="717">
        <f t="shared" ref="D52:Q52" ca="1" si="6">SUM(D48:D51)</f>
        <v>0</v>
      </c>
      <c r="E52" s="717">
        <f t="shared" si="6"/>
        <v>129.97148306152985</v>
      </c>
      <c r="F52" s="717">
        <f t="shared" si="6"/>
        <v>137.78941159270119</v>
      </c>
      <c r="G52" s="717">
        <f t="shared" si="6"/>
        <v>0</v>
      </c>
      <c r="H52" s="717">
        <f t="shared" si="6"/>
        <v>78598.289339086405</v>
      </c>
      <c r="I52" s="717">
        <f t="shared" si="6"/>
        <v>14504.76348974376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93474.034787731522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58.641016155356667</v>
      </c>
      <c r="D54" s="687">
        <f ca="1">+landbouw!C12</f>
        <v>0</v>
      </c>
      <c r="E54" s="687">
        <f>+landbouw!D12</f>
        <v>48.249076832000007</v>
      </c>
      <c r="F54" s="687">
        <f>+landbouw!E12</f>
        <v>2.3796092401556423</v>
      </c>
      <c r="G54" s="687">
        <f>+landbouw!F12</f>
        <v>316.94363115586367</v>
      </c>
      <c r="H54" s="687">
        <f>+landbouw!G12</f>
        <v>0</v>
      </c>
      <c r="I54" s="687">
        <f>+landbouw!H12</f>
        <v>0</v>
      </c>
      <c r="J54" s="687">
        <f>+landbouw!I12</f>
        <v>0</v>
      </c>
      <c r="K54" s="687">
        <f>+landbouw!J12</f>
        <v>32.758680982089516</v>
      </c>
      <c r="L54" s="687">
        <f>+landbouw!K12</f>
        <v>0</v>
      </c>
      <c r="M54" s="687">
        <f>+landbouw!L12</f>
        <v>0</v>
      </c>
      <c r="N54" s="687">
        <f>+landbouw!M12</f>
        <v>0</v>
      </c>
      <c r="O54" s="687">
        <f>+landbouw!N12</f>
        <v>0</v>
      </c>
      <c r="P54" s="687">
        <f>+landbouw!O12</f>
        <v>0</v>
      </c>
      <c r="Q54" s="688">
        <f>+landbouw!P12</f>
        <v>0</v>
      </c>
      <c r="R54" s="716">
        <f ca="1">SUM(C54:Q54)</f>
        <v>458.9720143654655</v>
      </c>
    </row>
    <row r="55" spans="1:18" ht="15" thickBot="1">
      <c r="A55" s="818" t="s">
        <v>714</v>
      </c>
      <c r="B55" s="828"/>
      <c r="C55" s="687">
        <f ca="1">C25*'EF ele_warmte'!B12</f>
        <v>1175.0222440739958</v>
      </c>
      <c r="D55" s="687"/>
      <c r="E55" s="687">
        <f>E25*EF_CO2_aardgas</f>
        <v>2195.6743441420003</v>
      </c>
      <c r="F55" s="687"/>
      <c r="G55" s="687"/>
      <c r="H55" s="687"/>
      <c r="I55" s="687"/>
      <c r="J55" s="687"/>
      <c r="K55" s="687"/>
      <c r="L55" s="687"/>
      <c r="M55" s="687"/>
      <c r="N55" s="687"/>
      <c r="O55" s="687"/>
      <c r="P55" s="687"/>
      <c r="Q55" s="688"/>
      <c r="R55" s="716">
        <f ca="1">SUM(C55:Q55)</f>
        <v>3370.6965882159961</v>
      </c>
    </row>
    <row r="56" spans="1:18" ht="15.75" thickBot="1">
      <c r="A56" s="816" t="s">
        <v>715</v>
      </c>
      <c r="B56" s="829"/>
      <c r="C56" s="717">
        <f ca="1">SUM(C54:C55)</f>
        <v>1233.6632602293525</v>
      </c>
      <c r="D56" s="717">
        <f t="shared" ref="D56:Q56" ca="1" si="7">SUM(D54:D55)</f>
        <v>0</v>
      </c>
      <c r="E56" s="717">
        <f t="shared" si="7"/>
        <v>2243.9234209740002</v>
      </c>
      <c r="F56" s="717">
        <f t="shared" si="7"/>
        <v>2.3796092401556423</v>
      </c>
      <c r="G56" s="717">
        <f t="shared" si="7"/>
        <v>316.94363115586367</v>
      </c>
      <c r="H56" s="717">
        <f t="shared" si="7"/>
        <v>0</v>
      </c>
      <c r="I56" s="717">
        <f t="shared" si="7"/>
        <v>0</v>
      </c>
      <c r="J56" s="717">
        <f t="shared" si="7"/>
        <v>0</v>
      </c>
      <c r="K56" s="717">
        <f t="shared" si="7"/>
        <v>32.758680982089516</v>
      </c>
      <c r="L56" s="717">
        <f t="shared" si="7"/>
        <v>0</v>
      </c>
      <c r="M56" s="717">
        <f t="shared" si="7"/>
        <v>0</v>
      </c>
      <c r="N56" s="717">
        <f t="shared" si="7"/>
        <v>0</v>
      </c>
      <c r="O56" s="717">
        <f t="shared" si="7"/>
        <v>0</v>
      </c>
      <c r="P56" s="717">
        <f t="shared" si="7"/>
        <v>0</v>
      </c>
      <c r="Q56" s="718">
        <f t="shared" si="7"/>
        <v>0</v>
      </c>
      <c r="R56" s="719">
        <f ca="1">SUM(R54:R55)</f>
        <v>3829.6686025814615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90871.403375320719</v>
      </c>
      <c r="D61" s="725">
        <f t="shared" ref="D61:Q61" ca="1" si="8">D46+D52+D56</f>
        <v>22.915966386554619</v>
      </c>
      <c r="E61" s="725">
        <f t="shared" ca="1" si="8"/>
        <v>79825.152827141021</v>
      </c>
      <c r="F61" s="725">
        <f t="shared" si="8"/>
        <v>10570.191196850395</v>
      </c>
      <c r="G61" s="725">
        <f t="shared" ca="1" si="8"/>
        <v>81266.609717491621</v>
      </c>
      <c r="H61" s="725">
        <f t="shared" si="8"/>
        <v>78598.289339086405</v>
      </c>
      <c r="I61" s="725">
        <f t="shared" si="8"/>
        <v>14504.76348974376</v>
      </c>
      <c r="J61" s="725">
        <f t="shared" si="8"/>
        <v>0</v>
      </c>
      <c r="K61" s="725">
        <f t="shared" si="8"/>
        <v>914.3226397059459</v>
      </c>
      <c r="L61" s="725">
        <f t="shared" si="8"/>
        <v>0</v>
      </c>
      <c r="M61" s="725">
        <f t="shared" ca="1" si="8"/>
        <v>0</v>
      </c>
      <c r="N61" s="725">
        <f t="shared" si="8"/>
        <v>0</v>
      </c>
      <c r="O61" s="725">
        <f t="shared" ca="1" si="8"/>
        <v>0</v>
      </c>
      <c r="P61" s="725">
        <f t="shared" si="8"/>
        <v>0</v>
      </c>
      <c r="Q61" s="725">
        <f t="shared" si="8"/>
        <v>0</v>
      </c>
      <c r="R61" s="725">
        <f ca="1">R46+R52+R56</f>
        <v>356573.64855172648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0.17458658813390496</v>
      </c>
      <c r="D63" s="771">
        <f t="shared" ca="1" si="9"/>
        <v>0.23764705882352938</v>
      </c>
      <c r="E63" s="969">
        <f t="shared" ca="1" si="9"/>
        <v>0.20199999999999993</v>
      </c>
      <c r="F63" s="771">
        <f t="shared" si="9"/>
        <v>0.22700000000000001</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71551.249422814159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36145.769144317608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67.5</v>
      </c>
      <c r="D76" s="952">
        <f>'lokale energieproductie'!C8</f>
        <v>79.411764705882348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16.041176470588237</v>
      </c>
      <c r="R76" s="845">
        <v>0</v>
      </c>
    </row>
    <row r="77" spans="1:18" ht="15.75" thickBot="1">
      <c r="A77" s="741" t="s">
        <v>773</v>
      </c>
      <c r="B77" s="738">
        <f>'lokale energieproductie'!B9*IFERROR(SUM(I77:O77)/SUM(D77:O77),0)</f>
        <v>1620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4628.5714285714284</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109317.01856713177</v>
      </c>
      <c r="C78" s="743">
        <f>SUM(C72:C77)</f>
        <v>67.5</v>
      </c>
      <c r="D78" s="744">
        <f t="shared" ref="D78:H78" si="10">SUM(D76:D77)</f>
        <v>79.411764705882348</v>
      </c>
      <c r="E78" s="744">
        <f t="shared" si="10"/>
        <v>0</v>
      </c>
      <c r="F78" s="744">
        <f t="shared" si="10"/>
        <v>0</v>
      </c>
      <c r="G78" s="744">
        <f t="shared" si="10"/>
        <v>0</v>
      </c>
      <c r="H78" s="744">
        <f t="shared" si="10"/>
        <v>0</v>
      </c>
      <c r="I78" s="744">
        <f>SUM(I76:I77)</f>
        <v>0</v>
      </c>
      <c r="J78" s="744">
        <f>SUM(J76:J77)</f>
        <v>4628.5714285714284</v>
      </c>
      <c r="K78" s="744">
        <f t="shared" ref="K78:L78" si="11">SUM(K76:K77)</f>
        <v>0</v>
      </c>
      <c r="L78" s="744">
        <f t="shared" si="11"/>
        <v>0</v>
      </c>
      <c r="M78" s="744">
        <f>SUM(M76:M77)</f>
        <v>0</v>
      </c>
      <c r="N78" s="744">
        <f>SUM(N76:N77)</f>
        <v>0</v>
      </c>
      <c r="O78" s="853">
        <f>SUM(O76:O77)</f>
        <v>0</v>
      </c>
      <c r="P78" s="745">
        <v>0</v>
      </c>
      <c r="Q78" s="745">
        <f>SUM(Q76:Q77)</f>
        <v>16.041176470588237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96.428571428571431</v>
      </c>
      <c r="D87" s="767">
        <f>'lokale energieproductie'!C17</f>
        <v>113.44537815126048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22.915966386554619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96.428571428571431</v>
      </c>
      <c r="D90" s="743">
        <f t="shared" ref="D90:H90" si="12">SUM(D87:D89)</f>
        <v>113.44537815126048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22.915966386554619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118943.49049872125</v>
      </c>
      <c r="C4" s="448">
        <f>huishoudens!C8</f>
        <v>0</v>
      </c>
      <c r="D4" s="448">
        <f>huishoudens!D8</f>
        <v>179000.545726376</v>
      </c>
      <c r="E4" s="448">
        <f>huishoudens!E8</f>
        <v>11516.804641336985</v>
      </c>
      <c r="F4" s="448">
        <f>huishoudens!F8</f>
        <v>185666.24048853372</v>
      </c>
      <c r="G4" s="448">
        <f>huishoudens!G8</f>
        <v>0</v>
      </c>
      <c r="H4" s="448">
        <f>huishoudens!H8</f>
        <v>0</v>
      </c>
      <c r="I4" s="448">
        <f>huishoudens!I8</f>
        <v>0</v>
      </c>
      <c r="J4" s="448">
        <f>huishoudens!J8</f>
        <v>741.72844506931733</v>
      </c>
      <c r="K4" s="448">
        <f>huishoudens!K8</f>
        <v>0</v>
      </c>
      <c r="L4" s="448">
        <f>huishoudens!L8</f>
        <v>0</v>
      </c>
      <c r="M4" s="448">
        <f>huishoudens!M8</f>
        <v>0</v>
      </c>
      <c r="N4" s="448">
        <f>huishoudens!N8</f>
        <v>37351.04627236454</v>
      </c>
      <c r="O4" s="448">
        <f>huishoudens!O8</f>
        <v>1968.0865536319354</v>
      </c>
      <c r="P4" s="449">
        <f>huishoudens!P8</f>
        <v>1885.578716075619</v>
      </c>
      <c r="Q4" s="450">
        <f>SUM(B4:P4)</f>
        <v>537073.52134210931</v>
      </c>
    </row>
    <row r="5" spans="1:17">
      <c r="A5" s="447" t="s">
        <v>155</v>
      </c>
      <c r="B5" s="448">
        <f ca="1">tertiair!B16</f>
        <v>162501.77773399997</v>
      </c>
      <c r="C5" s="448">
        <f ca="1">tertiair!C16</f>
        <v>96.428571428571431</v>
      </c>
      <c r="D5" s="448">
        <f ca="1">tertiair!D16</f>
        <v>131063.71256778286</v>
      </c>
      <c r="E5" s="448">
        <f>tertiair!E16</f>
        <v>2105.8830285375639</v>
      </c>
      <c r="F5" s="448">
        <f ca="1">tertiair!F16</f>
        <v>17680.136617965705</v>
      </c>
      <c r="G5" s="448">
        <f>tertiair!G16</f>
        <v>0</v>
      </c>
      <c r="H5" s="448">
        <f>tertiair!H16</f>
        <v>0</v>
      </c>
      <c r="I5" s="448">
        <f>tertiair!I16</f>
        <v>0</v>
      </c>
      <c r="J5" s="448">
        <f>tertiair!J16</f>
        <v>0.31349417989100925</v>
      </c>
      <c r="K5" s="448">
        <f>tertiair!K16</f>
        <v>0</v>
      </c>
      <c r="L5" s="448">
        <f ca="1">tertiair!L16</f>
        <v>0</v>
      </c>
      <c r="M5" s="448">
        <f>tertiair!M16</f>
        <v>0</v>
      </c>
      <c r="N5" s="448">
        <f ca="1">tertiair!N16</f>
        <v>7862.6857103664306</v>
      </c>
      <c r="O5" s="448">
        <f>tertiair!O16</f>
        <v>24.486303829205774</v>
      </c>
      <c r="P5" s="449">
        <f>tertiair!P16</f>
        <v>367.77396814546512</v>
      </c>
      <c r="Q5" s="447">
        <f t="shared" ref="Q5:Q14" ca="1" si="0">SUM(B5:P5)</f>
        <v>321703.19799623563</v>
      </c>
    </row>
    <row r="6" spans="1:17">
      <c r="A6" s="447" t="s">
        <v>193</v>
      </c>
      <c r="B6" s="448">
        <f>'openbare verlichting'!B8</f>
        <v>4387.5720000000001</v>
      </c>
      <c r="C6" s="448"/>
      <c r="D6" s="448"/>
      <c r="E6" s="448"/>
      <c r="F6" s="448"/>
      <c r="G6" s="448"/>
      <c r="H6" s="448"/>
      <c r="I6" s="448"/>
      <c r="J6" s="448"/>
      <c r="K6" s="448"/>
      <c r="L6" s="448"/>
      <c r="M6" s="448"/>
      <c r="N6" s="448"/>
      <c r="O6" s="448"/>
      <c r="P6" s="449"/>
      <c r="Q6" s="447">
        <f t="shared" si="0"/>
        <v>4387.5720000000001</v>
      </c>
    </row>
    <row r="7" spans="1:17">
      <c r="A7" s="447" t="s">
        <v>111</v>
      </c>
      <c r="B7" s="448">
        <f>landbouw!B8</f>
        <v>335.88499999999999</v>
      </c>
      <c r="C7" s="448">
        <f>landbouw!C8</f>
        <v>0</v>
      </c>
      <c r="D7" s="448">
        <f>landbouw!D8</f>
        <v>238.85681600000001</v>
      </c>
      <c r="E7" s="448">
        <f>landbouw!E8</f>
        <v>10.482860088791375</v>
      </c>
      <c r="F7" s="448">
        <f>landbouw!F8</f>
        <v>1187.054798336568</v>
      </c>
      <c r="G7" s="448">
        <f>landbouw!G8</f>
        <v>0</v>
      </c>
      <c r="H7" s="448">
        <f>landbouw!H8</f>
        <v>0</v>
      </c>
      <c r="I7" s="448">
        <f>landbouw!I8</f>
        <v>0</v>
      </c>
      <c r="J7" s="448">
        <f>landbouw!J8</f>
        <v>92.538646842060786</v>
      </c>
      <c r="K7" s="448">
        <f>landbouw!K8</f>
        <v>0</v>
      </c>
      <c r="L7" s="448">
        <f>landbouw!L8</f>
        <v>0</v>
      </c>
      <c r="M7" s="448">
        <f>landbouw!M8</f>
        <v>0</v>
      </c>
      <c r="N7" s="448">
        <f>landbouw!N8</f>
        <v>0</v>
      </c>
      <c r="O7" s="448">
        <f>landbouw!O8</f>
        <v>0</v>
      </c>
      <c r="P7" s="449">
        <f>landbouw!P8</f>
        <v>0</v>
      </c>
      <c r="Q7" s="447">
        <f t="shared" si="0"/>
        <v>1864.8181212674201</v>
      </c>
    </row>
    <row r="8" spans="1:17">
      <c r="A8" s="447" t="s">
        <v>618</v>
      </c>
      <c r="B8" s="448">
        <f>industrie!B18</f>
        <v>227004.48597799998</v>
      </c>
      <c r="C8" s="448">
        <f>industrie!C18</f>
        <v>0</v>
      </c>
      <c r="D8" s="448">
        <f>industrie!D18</f>
        <v>73357.810632106004</v>
      </c>
      <c r="E8" s="448">
        <f>industrie!E18</f>
        <v>32324.546585709322</v>
      </c>
      <c r="F8" s="448">
        <f>industrie!F18</f>
        <v>99835.892879776817</v>
      </c>
      <c r="G8" s="448">
        <f>industrie!G18</f>
        <v>0</v>
      </c>
      <c r="H8" s="448">
        <f>industrie!H18</f>
        <v>0</v>
      </c>
      <c r="I8" s="448">
        <f>industrie!I18</f>
        <v>0</v>
      </c>
      <c r="J8" s="448">
        <f>industrie!J18</f>
        <v>1748.2517294622505</v>
      </c>
      <c r="K8" s="448">
        <f>industrie!K18</f>
        <v>0</v>
      </c>
      <c r="L8" s="448">
        <f>industrie!L18</f>
        <v>0</v>
      </c>
      <c r="M8" s="448">
        <f>industrie!M18</f>
        <v>0</v>
      </c>
      <c r="N8" s="448">
        <f>industrie!N18</f>
        <v>10042.654468020855</v>
      </c>
      <c r="O8" s="448">
        <f>industrie!O18</f>
        <v>0</v>
      </c>
      <c r="P8" s="449">
        <f>industrie!P18</f>
        <v>0</v>
      </c>
      <c r="Q8" s="447">
        <f t="shared" si="0"/>
        <v>444313.64227307524</v>
      </c>
    </row>
    <row r="9" spans="1:17" s="453" customFormat="1">
      <c r="A9" s="451" t="s">
        <v>544</v>
      </c>
      <c r="B9" s="452">
        <f>transport!B14</f>
        <v>402.79483985648005</v>
      </c>
      <c r="C9" s="452">
        <f>transport!C14</f>
        <v>0</v>
      </c>
      <c r="D9" s="452">
        <f>transport!D14</f>
        <v>643.42318347291996</v>
      </c>
      <c r="E9" s="452">
        <f>transport!E14</f>
        <v>607.00181318370562</v>
      </c>
      <c r="F9" s="452">
        <f>transport!F14</f>
        <v>0</v>
      </c>
      <c r="G9" s="452">
        <f>transport!G14</f>
        <v>280723.10651101585</v>
      </c>
      <c r="H9" s="452">
        <f>transport!H14</f>
        <v>58252.062207806266</v>
      </c>
      <c r="I9" s="452">
        <f>transport!I14</f>
        <v>0</v>
      </c>
      <c r="J9" s="452">
        <f>transport!J14</f>
        <v>0</v>
      </c>
      <c r="K9" s="452">
        <f>transport!K14</f>
        <v>0</v>
      </c>
      <c r="L9" s="452">
        <f>transport!L14</f>
        <v>0</v>
      </c>
      <c r="M9" s="452">
        <f>transport!M14</f>
        <v>20038.260547063848</v>
      </c>
      <c r="N9" s="452">
        <f>transport!N14</f>
        <v>0</v>
      </c>
      <c r="O9" s="452">
        <f>transport!O14</f>
        <v>0</v>
      </c>
      <c r="P9" s="452">
        <f>transport!P14</f>
        <v>0</v>
      </c>
      <c r="Q9" s="451">
        <f>SUM(B9:P9)</f>
        <v>360666.64910239907</v>
      </c>
    </row>
    <row r="10" spans="1:17">
      <c r="A10" s="447" t="s">
        <v>534</v>
      </c>
      <c r="B10" s="448">
        <f>transport!B54</f>
        <v>188.43651044602137</v>
      </c>
      <c r="C10" s="448">
        <f>transport!C54</f>
        <v>0</v>
      </c>
      <c r="D10" s="448">
        <f>transport!D54</f>
        <v>0</v>
      </c>
      <c r="E10" s="448">
        <f>transport!E54</f>
        <v>0</v>
      </c>
      <c r="F10" s="448">
        <f>transport!F54</f>
        <v>0</v>
      </c>
      <c r="G10" s="448">
        <f>transport!G54</f>
        <v>13652.50899118043</v>
      </c>
      <c r="H10" s="448">
        <f>transport!H54</f>
        <v>0</v>
      </c>
      <c r="I10" s="448">
        <f>transport!I54</f>
        <v>0</v>
      </c>
      <c r="J10" s="448">
        <f>transport!J54</f>
        <v>0</v>
      </c>
      <c r="K10" s="448">
        <f>transport!K54</f>
        <v>0</v>
      </c>
      <c r="L10" s="448">
        <f>transport!L54</f>
        <v>0</v>
      </c>
      <c r="M10" s="448">
        <f>transport!M54</f>
        <v>772.22656572723918</v>
      </c>
      <c r="N10" s="448">
        <f>transport!N54</f>
        <v>0</v>
      </c>
      <c r="O10" s="448">
        <f>transport!O54</f>
        <v>0</v>
      </c>
      <c r="P10" s="449">
        <f>transport!P54</f>
        <v>0</v>
      </c>
      <c r="Q10" s="447">
        <f t="shared" si="0"/>
        <v>14613.172067353691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6730.3122000000003</v>
      </c>
      <c r="C14" s="455"/>
      <c r="D14" s="455">
        <f>'SEAP template'!E25</f>
        <v>10869.674971</v>
      </c>
      <c r="E14" s="455"/>
      <c r="F14" s="455"/>
      <c r="G14" s="455"/>
      <c r="H14" s="455"/>
      <c r="I14" s="455"/>
      <c r="J14" s="455"/>
      <c r="K14" s="455"/>
      <c r="L14" s="455"/>
      <c r="M14" s="455"/>
      <c r="N14" s="455"/>
      <c r="O14" s="455"/>
      <c r="P14" s="456"/>
      <c r="Q14" s="447">
        <f t="shared" si="0"/>
        <v>17599.987171000001</v>
      </c>
    </row>
    <row r="15" spans="1:17" s="459" customFormat="1">
      <c r="A15" s="457" t="s">
        <v>538</v>
      </c>
      <c r="B15" s="458">
        <f ca="1">SUM(B4:B14)</f>
        <v>520494.75476102374</v>
      </c>
      <c r="C15" s="458">
        <f t="shared" ref="C15:Q15" ca="1" si="1">SUM(C4:C14)</f>
        <v>96.428571428571431</v>
      </c>
      <c r="D15" s="458">
        <f t="shared" ca="1" si="1"/>
        <v>395174.02389673778</v>
      </c>
      <c r="E15" s="458">
        <f t="shared" si="1"/>
        <v>46564.718928856368</v>
      </c>
      <c r="F15" s="458">
        <f t="shared" ca="1" si="1"/>
        <v>304369.32478461281</v>
      </c>
      <c r="G15" s="458">
        <f t="shared" si="1"/>
        <v>294375.61550219631</v>
      </c>
      <c r="H15" s="458">
        <f t="shared" si="1"/>
        <v>58252.062207806266</v>
      </c>
      <c r="I15" s="458">
        <f t="shared" si="1"/>
        <v>0</v>
      </c>
      <c r="J15" s="458">
        <f t="shared" si="1"/>
        <v>2582.8323155535195</v>
      </c>
      <c r="K15" s="458">
        <f t="shared" si="1"/>
        <v>0</v>
      </c>
      <c r="L15" s="458">
        <f t="shared" ca="1" si="1"/>
        <v>0</v>
      </c>
      <c r="M15" s="458">
        <f t="shared" si="1"/>
        <v>20810.487112791088</v>
      </c>
      <c r="N15" s="458">
        <f t="shared" ca="1" si="1"/>
        <v>55256.386450751823</v>
      </c>
      <c r="O15" s="458">
        <f t="shared" si="1"/>
        <v>1992.5728574611412</v>
      </c>
      <c r="P15" s="458">
        <f t="shared" si="1"/>
        <v>2253.352684221084</v>
      </c>
      <c r="Q15" s="458">
        <f t="shared" ca="1" si="1"/>
        <v>1702222.5600734404</v>
      </c>
    </row>
    <row r="17" spans="1:17">
      <c r="A17" s="460" t="s">
        <v>539</v>
      </c>
      <c r="B17" s="776">
        <f ca="1">huishoudens!B10</f>
        <v>0.17458658813390496</v>
      </c>
      <c r="C17" s="776">
        <f ca="1">huishoudens!C10</f>
        <v>0.23764705882352938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20765.938186909283</v>
      </c>
      <c r="C22" s="448">
        <f t="shared" ref="C22:C32" ca="1" si="3">C4*$C$17</f>
        <v>0</v>
      </c>
      <c r="D22" s="448">
        <f t="shared" ref="D22:D32" si="4">D4*$D$17</f>
        <v>36158.110236727953</v>
      </c>
      <c r="E22" s="448">
        <f t="shared" ref="E22:E32" si="5">E4*$E$17</f>
        <v>2614.3146535834958</v>
      </c>
      <c r="F22" s="448">
        <f t="shared" ref="F22:F32" si="6">F4*$F$17</f>
        <v>49572.886210438504</v>
      </c>
      <c r="G22" s="448">
        <f t="shared" ref="G22:G32" si="7">G4*$G$17</f>
        <v>0</v>
      </c>
      <c r="H22" s="448">
        <f t="shared" ref="H22:H32" si="8">H4*$H$17</f>
        <v>0</v>
      </c>
      <c r="I22" s="448">
        <f t="shared" ref="I22:I32" si="9">I4*$I$17</f>
        <v>0</v>
      </c>
      <c r="J22" s="448">
        <f t="shared" ref="J22:J32" si="10">J4*$J$17</f>
        <v>262.5718695545383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109373.82115721378</v>
      </c>
    </row>
    <row r="23" spans="1:17">
      <c r="A23" s="447" t="s">
        <v>155</v>
      </c>
      <c r="B23" s="448">
        <f t="shared" ca="1" si="2"/>
        <v>28370.630940273222</v>
      </c>
      <c r="C23" s="448">
        <f t="shared" ca="1" si="3"/>
        <v>22.915966386554619</v>
      </c>
      <c r="D23" s="448">
        <f t="shared" ca="1" si="4"/>
        <v>26474.86993869214</v>
      </c>
      <c r="E23" s="448">
        <f t="shared" si="5"/>
        <v>478.03544747802704</v>
      </c>
      <c r="F23" s="448">
        <f t="shared" ca="1" si="6"/>
        <v>4720.5964769968432</v>
      </c>
      <c r="G23" s="448">
        <f t="shared" si="7"/>
        <v>0</v>
      </c>
      <c r="H23" s="448">
        <f t="shared" si="8"/>
        <v>0</v>
      </c>
      <c r="I23" s="448">
        <f t="shared" si="9"/>
        <v>0</v>
      </c>
      <c r="J23" s="448">
        <f t="shared" si="10"/>
        <v>0.11097693968141727</v>
      </c>
      <c r="K23" s="448">
        <f t="shared" si="11"/>
        <v>0</v>
      </c>
      <c r="L23" s="448">
        <f t="shared" ca="1" si="12"/>
        <v>0</v>
      </c>
      <c r="M23" s="448">
        <f t="shared" si="13"/>
        <v>0</v>
      </c>
      <c r="N23" s="448">
        <f t="shared" ca="1" si="14"/>
        <v>0</v>
      </c>
      <c r="O23" s="448">
        <f t="shared" si="15"/>
        <v>0</v>
      </c>
      <c r="P23" s="449">
        <f t="shared" si="16"/>
        <v>0</v>
      </c>
      <c r="Q23" s="447">
        <f t="shared" ref="Q23:Q31" ca="1" si="17">SUM(B23:P23)</f>
        <v>60067.159746766461</v>
      </c>
    </row>
    <row r="24" spans="1:17">
      <c r="A24" s="447" t="s">
        <v>193</v>
      </c>
      <c r="B24" s="448">
        <f t="shared" ca="1" si="2"/>
        <v>766.01122567185371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766.01122567185371</v>
      </c>
    </row>
    <row r="25" spans="1:17">
      <c r="A25" s="447" t="s">
        <v>111</v>
      </c>
      <c r="B25" s="448">
        <f t="shared" ca="1" si="2"/>
        <v>58.641016155356667</v>
      </c>
      <c r="C25" s="448">
        <f t="shared" ca="1" si="3"/>
        <v>0</v>
      </c>
      <c r="D25" s="448">
        <f t="shared" si="4"/>
        <v>48.249076832000007</v>
      </c>
      <c r="E25" s="448">
        <f t="shared" si="5"/>
        <v>2.3796092401556423</v>
      </c>
      <c r="F25" s="448">
        <f t="shared" si="6"/>
        <v>316.94363115586367</v>
      </c>
      <c r="G25" s="448">
        <f t="shared" si="7"/>
        <v>0</v>
      </c>
      <c r="H25" s="448">
        <f t="shared" si="8"/>
        <v>0</v>
      </c>
      <c r="I25" s="448">
        <f t="shared" si="9"/>
        <v>0</v>
      </c>
      <c r="J25" s="448">
        <f t="shared" si="10"/>
        <v>32.758680982089516</v>
      </c>
      <c r="K25" s="448">
        <f t="shared" si="11"/>
        <v>0</v>
      </c>
      <c r="L25" s="448">
        <f t="shared" si="12"/>
        <v>0</v>
      </c>
      <c r="M25" s="448">
        <f t="shared" si="13"/>
        <v>0</v>
      </c>
      <c r="N25" s="448">
        <f t="shared" si="14"/>
        <v>0</v>
      </c>
      <c r="O25" s="448">
        <f t="shared" si="15"/>
        <v>0</v>
      </c>
      <c r="P25" s="449">
        <f t="shared" si="16"/>
        <v>0</v>
      </c>
      <c r="Q25" s="447">
        <f t="shared" ca="1" si="17"/>
        <v>458.9720143654655</v>
      </c>
    </row>
    <row r="26" spans="1:17">
      <c r="A26" s="447" t="s">
        <v>618</v>
      </c>
      <c r="B26" s="448">
        <f t="shared" ca="1" si="2"/>
        <v>39631.938697989885</v>
      </c>
      <c r="C26" s="448">
        <f t="shared" ca="1" si="3"/>
        <v>0</v>
      </c>
      <c r="D26" s="448">
        <f t="shared" si="4"/>
        <v>14818.277747685413</v>
      </c>
      <c r="E26" s="448">
        <f t="shared" si="5"/>
        <v>7337.6720749560163</v>
      </c>
      <c r="F26" s="448">
        <f t="shared" si="6"/>
        <v>26656.183398900412</v>
      </c>
      <c r="G26" s="448">
        <f t="shared" si="7"/>
        <v>0</v>
      </c>
      <c r="H26" s="448">
        <f t="shared" si="8"/>
        <v>0</v>
      </c>
      <c r="I26" s="448">
        <f t="shared" si="9"/>
        <v>0</v>
      </c>
      <c r="J26" s="448">
        <f t="shared" si="10"/>
        <v>618.88111222963664</v>
      </c>
      <c r="K26" s="448">
        <f t="shared" si="11"/>
        <v>0</v>
      </c>
      <c r="L26" s="448">
        <f t="shared" si="12"/>
        <v>0</v>
      </c>
      <c r="M26" s="448">
        <f t="shared" si="13"/>
        <v>0</v>
      </c>
      <c r="N26" s="448">
        <f t="shared" si="14"/>
        <v>0</v>
      </c>
      <c r="O26" s="448">
        <f t="shared" si="15"/>
        <v>0</v>
      </c>
      <c r="P26" s="449">
        <f t="shared" si="16"/>
        <v>0</v>
      </c>
      <c r="Q26" s="447">
        <f t="shared" ca="1" si="17"/>
        <v>89062.953031761353</v>
      </c>
    </row>
    <row r="27" spans="1:17" s="453" customFormat="1">
      <c r="A27" s="451" t="s">
        <v>544</v>
      </c>
      <c r="B27" s="770">
        <f t="shared" ca="1" si="2"/>
        <v>70.322576808485493</v>
      </c>
      <c r="C27" s="452">
        <f t="shared" ca="1" si="3"/>
        <v>0</v>
      </c>
      <c r="D27" s="452">
        <f t="shared" si="4"/>
        <v>129.97148306152985</v>
      </c>
      <c r="E27" s="452">
        <f t="shared" si="5"/>
        <v>137.78941159270119</v>
      </c>
      <c r="F27" s="452">
        <f t="shared" si="6"/>
        <v>0</v>
      </c>
      <c r="G27" s="452">
        <f t="shared" si="7"/>
        <v>74953.069438441235</v>
      </c>
      <c r="H27" s="452">
        <f t="shared" si="8"/>
        <v>14504.76348974376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89795.916399647715</v>
      </c>
    </row>
    <row r="28" spans="1:17" ht="16.5" customHeight="1">
      <c r="A28" s="447" t="s">
        <v>534</v>
      </c>
      <c r="B28" s="448">
        <f t="shared" ca="1" si="2"/>
        <v>32.898487438629815</v>
      </c>
      <c r="C28" s="448">
        <f t="shared" ca="1" si="3"/>
        <v>0</v>
      </c>
      <c r="D28" s="448">
        <f t="shared" si="4"/>
        <v>0</v>
      </c>
      <c r="E28" s="448">
        <f t="shared" si="5"/>
        <v>0</v>
      </c>
      <c r="F28" s="448">
        <f t="shared" si="6"/>
        <v>0</v>
      </c>
      <c r="G28" s="448">
        <f t="shared" si="7"/>
        <v>3645.2199006451751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3678.1183880838048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1175.0222440739958</v>
      </c>
      <c r="C32" s="448">
        <f t="shared" ca="1" si="3"/>
        <v>0</v>
      </c>
      <c r="D32" s="448">
        <f t="shared" si="4"/>
        <v>2195.6743441420003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3370.6965882159961</v>
      </c>
    </row>
    <row r="33" spans="1:17" s="459" customFormat="1">
      <c r="A33" s="457" t="s">
        <v>538</v>
      </c>
      <c r="B33" s="458">
        <f ca="1">SUM(B22:B32)</f>
        <v>90871.403375320719</v>
      </c>
      <c r="C33" s="458">
        <f t="shared" ref="C33:Q33" ca="1" si="19">SUM(C22:C32)</f>
        <v>22.915966386554619</v>
      </c>
      <c r="D33" s="458">
        <f t="shared" ca="1" si="19"/>
        <v>79825.152827141021</v>
      </c>
      <c r="E33" s="458">
        <f t="shared" si="19"/>
        <v>10570.191196850395</v>
      </c>
      <c r="F33" s="458">
        <f t="shared" ca="1" si="19"/>
        <v>81266.609717491621</v>
      </c>
      <c r="G33" s="458">
        <f t="shared" si="19"/>
        <v>78598.289339086405</v>
      </c>
      <c r="H33" s="458">
        <f t="shared" si="19"/>
        <v>14504.76348974376</v>
      </c>
      <c r="I33" s="458">
        <f t="shared" si="19"/>
        <v>0</v>
      </c>
      <c r="J33" s="458">
        <f t="shared" si="19"/>
        <v>914.3226397059459</v>
      </c>
      <c r="K33" s="458">
        <f t="shared" si="19"/>
        <v>0</v>
      </c>
      <c r="L33" s="458">
        <f t="shared" ca="1" si="19"/>
        <v>0</v>
      </c>
      <c r="M33" s="458">
        <f t="shared" si="19"/>
        <v>0</v>
      </c>
      <c r="N33" s="458">
        <f t="shared" ca="1" si="19"/>
        <v>0</v>
      </c>
      <c r="O33" s="458">
        <f t="shared" si="19"/>
        <v>0</v>
      </c>
      <c r="P33" s="458">
        <f t="shared" si="19"/>
        <v>0</v>
      </c>
      <c r="Q33" s="458">
        <f t="shared" ca="1" si="19"/>
        <v>356573.64855172642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71551.249422814159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36145.769144317608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67.5</v>
      </c>
      <c r="D8" s="1021">
        <f>'SEAP template'!D76</f>
        <v>79.411764705882348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16.041176470588237</v>
      </c>
    </row>
    <row r="9" spans="1:16">
      <c r="A9" s="1027" t="s">
        <v>774</v>
      </c>
      <c r="B9" s="1021">
        <f>'SEAP template'!B77</f>
        <v>1620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4628.5714285714284</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109317.01856713177</v>
      </c>
      <c r="C10" s="1023">
        <f>SUM(C4:C9)</f>
        <v>67.5</v>
      </c>
      <c r="D10" s="1023">
        <f t="shared" ref="D10:H10" si="0">SUM(D8:D9)</f>
        <v>79.411764705882348</v>
      </c>
      <c r="E10" s="1023">
        <f t="shared" si="0"/>
        <v>0</v>
      </c>
      <c r="F10" s="1023">
        <f t="shared" si="0"/>
        <v>0</v>
      </c>
      <c r="G10" s="1023">
        <f t="shared" si="0"/>
        <v>0</v>
      </c>
      <c r="H10" s="1023">
        <f t="shared" si="0"/>
        <v>0</v>
      </c>
      <c r="I10" s="1023">
        <f>SUM(I8:I9)</f>
        <v>0</v>
      </c>
      <c r="J10" s="1023">
        <f>SUM(J8:J9)</f>
        <v>4628.5714285714284</v>
      </c>
      <c r="K10" s="1023">
        <f t="shared" ref="K10:L10" si="1">SUM(K8:K9)</f>
        <v>0</v>
      </c>
      <c r="L10" s="1023">
        <f t="shared" si="1"/>
        <v>0</v>
      </c>
      <c r="M10" s="1023">
        <f>SUM(M8:M9)</f>
        <v>0</v>
      </c>
      <c r="N10" s="1023">
        <f>SUM(N8:N9)</f>
        <v>0</v>
      </c>
      <c r="O10" s="1023">
        <f>SUM(O8:O9)</f>
        <v>0</v>
      </c>
      <c r="P10" s="1023">
        <f>SUM(P8:P9)</f>
        <v>16.041176470588237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0.17458658813390496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96.428571428571431</v>
      </c>
      <c r="D17" s="1022">
        <f>'SEAP template'!D87</f>
        <v>113.44537815126048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22.915966386554619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96.428571428571431</v>
      </c>
      <c r="D20" s="1023">
        <f t="shared" ref="D20:H20" si="2">SUM(D17:D19)</f>
        <v>113.44537815126048</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22.915966386554619</v>
      </c>
    </row>
    <row r="21" spans="1:16">
      <c r="B21" s="881"/>
    </row>
    <row r="22" spans="1:16">
      <c r="A22" s="460" t="s">
        <v>786</v>
      </c>
      <c r="B22" s="776" t="s">
        <v>784</v>
      </c>
      <c r="C22" s="776">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0.17458658813390496</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0.17458658813390496</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0.17458658813390496</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25994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395.75</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8</v>
      </c>
      <c r="C17" s="326"/>
      <c r="D17" s="326"/>
      <c r="E17" s="326"/>
      <c r="F17" s="326"/>
    </row>
    <row r="18" spans="1:6">
      <c r="A18" s="1298" t="s">
        <v>8</v>
      </c>
      <c r="B18" s="1299">
        <v>6</v>
      </c>
      <c r="C18" s="326"/>
      <c r="D18" s="326"/>
      <c r="E18" s="326"/>
      <c r="F18" s="326"/>
    </row>
    <row r="19" spans="1:6">
      <c r="A19" s="1298" t="s">
        <v>9</v>
      </c>
      <c r="B19" s="1299">
        <v>6</v>
      </c>
      <c r="C19" s="326"/>
      <c r="D19" s="326"/>
      <c r="E19" s="326"/>
      <c r="F19" s="326"/>
    </row>
    <row r="20" spans="1:6">
      <c r="A20" s="1298" t="s">
        <v>10</v>
      </c>
      <c r="B20" s="1299">
        <v>8</v>
      </c>
      <c r="C20" s="326"/>
      <c r="D20" s="326"/>
      <c r="E20" s="326"/>
      <c r="F20" s="326"/>
    </row>
    <row r="21" spans="1:6">
      <c r="A21" s="1298" t="s">
        <v>11</v>
      </c>
      <c r="B21" s="1299">
        <v>0</v>
      </c>
      <c r="C21" s="326"/>
      <c r="D21" s="326"/>
      <c r="E21" s="326"/>
      <c r="F21" s="326"/>
    </row>
    <row r="22" spans="1:6">
      <c r="A22" s="1298" t="s">
        <v>12</v>
      </c>
      <c r="B22" s="1299">
        <v>22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2</v>
      </c>
      <c r="C25" s="326"/>
      <c r="D25" s="326"/>
      <c r="E25" s="326"/>
      <c r="F25" s="326"/>
    </row>
    <row r="26" spans="1:6">
      <c r="A26" s="1298" t="s">
        <v>16</v>
      </c>
      <c r="B26" s="1299">
        <v>134</v>
      </c>
      <c r="C26" s="326"/>
      <c r="D26" s="326"/>
      <c r="E26" s="326"/>
      <c r="F26" s="326"/>
    </row>
    <row r="27" spans="1:6">
      <c r="A27" s="1298" t="s">
        <v>17</v>
      </c>
      <c r="B27" s="1299">
        <v>7</v>
      </c>
      <c r="C27" s="326"/>
      <c r="D27" s="326"/>
      <c r="E27" s="326"/>
      <c r="F27" s="326"/>
    </row>
    <row r="28" spans="1:6" s="43" customFormat="1">
      <c r="A28" s="1300" t="s">
        <v>18</v>
      </c>
      <c r="B28" s="1301">
        <v>40</v>
      </c>
      <c r="C28" s="332"/>
      <c r="D28" s="332"/>
      <c r="E28" s="332"/>
      <c r="F28" s="332"/>
    </row>
    <row r="29" spans="1:6">
      <c r="A29" s="1300" t="s">
        <v>695</v>
      </c>
      <c r="B29" s="1301">
        <v>69</v>
      </c>
      <c r="C29" s="332"/>
      <c r="D29" s="332"/>
      <c r="E29" s="332"/>
      <c r="F29" s="332"/>
    </row>
    <row r="30" spans="1:6">
      <c r="A30" s="1293" t="s">
        <v>696</v>
      </c>
      <c r="B30" s="1302">
        <v>10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86137</v>
      </c>
    </row>
    <row r="36" spans="1:6">
      <c r="A36" s="1298" t="s">
        <v>24</v>
      </c>
      <c r="B36" s="1298" t="s">
        <v>26</v>
      </c>
      <c r="C36" s="1299">
        <v>4</v>
      </c>
      <c r="D36" s="1299">
        <v>282866</v>
      </c>
      <c r="E36" s="1299">
        <v>36</v>
      </c>
      <c r="F36" s="1299">
        <v>1812948</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13119</v>
      </c>
      <c r="D39" s="1299">
        <v>198448498.588</v>
      </c>
      <c r="E39" s="1299">
        <v>26330</v>
      </c>
      <c r="F39" s="1299">
        <v>106733270.45</v>
      </c>
    </row>
    <row r="40" spans="1:6">
      <c r="A40" s="1298" t="s">
        <v>29</v>
      </c>
      <c r="B40" s="1298" t="s">
        <v>28</v>
      </c>
      <c r="C40" s="1299">
        <v>0</v>
      </c>
      <c r="D40" s="1299">
        <v>0</v>
      </c>
      <c r="E40" s="1299">
        <v>0</v>
      </c>
      <c r="F40" s="1299">
        <v>0</v>
      </c>
    </row>
    <row r="41" spans="1:6">
      <c r="A41" s="1298" t="s">
        <v>31</v>
      </c>
      <c r="B41" s="1298" t="s">
        <v>32</v>
      </c>
      <c r="C41" s="1299">
        <v>187</v>
      </c>
      <c r="D41" s="1299">
        <v>8002385.6569999997</v>
      </c>
      <c r="E41" s="1299">
        <v>389</v>
      </c>
      <c r="F41" s="1299">
        <v>115122763.943</v>
      </c>
    </row>
    <row r="42" spans="1:6">
      <c r="A42" s="1298" t="s">
        <v>31</v>
      </c>
      <c r="B42" s="1298" t="s">
        <v>33</v>
      </c>
      <c r="C42" s="1299">
        <v>5</v>
      </c>
      <c r="D42" s="1299">
        <v>2435586.423</v>
      </c>
      <c r="E42" s="1299">
        <v>13</v>
      </c>
      <c r="F42" s="1299">
        <v>42845759</v>
      </c>
    </row>
    <row r="43" spans="1:6">
      <c r="A43" s="1298" t="s">
        <v>31</v>
      </c>
      <c r="B43" s="1298" t="s">
        <v>34</v>
      </c>
      <c r="C43" s="1299">
        <v>0</v>
      </c>
      <c r="D43" s="1299">
        <v>0</v>
      </c>
      <c r="E43" s="1299">
        <v>3</v>
      </c>
      <c r="F43" s="1299">
        <v>2401880</v>
      </c>
    </row>
    <row r="44" spans="1:6">
      <c r="A44" s="1298" t="s">
        <v>31</v>
      </c>
      <c r="B44" s="1298" t="s">
        <v>35</v>
      </c>
      <c r="C44" s="1299">
        <v>54</v>
      </c>
      <c r="D44" s="1299">
        <v>47295920.479999997</v>
      </c>
      <c r="E44" s="1299">
        <v>112</v>
      </c>
      <c r="F44" s="1299">
        <v>26761487.035</v>
      </c>
    </row>
    <row r="45" spans="1:6">
      <c r="A45" s="1298" t="s">
        <v>31</v>
      </c>
      <c r="B45" s="1298" t="s">
        <v>36</v>
      </c>
      <c r="C45" s="1299">
        <v>5</v>
      </c>
      <c r="D45" s="1299">
        <v>501157</v>
      </c>
      <c r="E45" s="1299">
        <v>12</v>
      </c>
      <c r="F45" s="1299">
        <v>656720</v>
      </c>
    </row>
    <row r="46" spans="1:6">
      <c r="A46" s="1298" t="s">
        <v>31</v>
      </c>
      <c r="B46" s="1298" t="s">
        <v>37</v>
      </c>
      <c r="C46" s="1299">
        <v>0</v>
      </c>
      <c r="D46" s="1299">
        <v>0</v>
      </c>
      <c r="E46" s="1299">
        <v>0</v>
      </c>
      <c r="F46" s="1299">
        <v>0</v>
      </c>
    </row>
    <row r="47" spans="1:6">
      <c r="A47" s="1298" t="s">
        <v>31</v>
      </c>
      <c r="B47" s="1298" t="s">
        <v>38</v>
      </c>
      <c r="C47" s="1299">
        <v>11</v>
      </c>
      <c r="D47" s="1299">
        <v>7973351</v>
      </c>
      <c r="E47" s="1299">
        <v>21</v>
      </c>
      <c r="F47" s="1299">
        <v>15708297</v>
      </c>
    </row>
    <row r="48" spans="1:6">
      <c r="A48" s="1298" t="s">
        <v>31</v>
      </c>
      <c r="B48" s="1298" t="s">
        <v>28</v>
      </c>
      <c r="C48" s="1299">
        <v>2</v>
      </c>
      <c r="D48" s="1299">
        <v>1220398.943</v>
      </c>
      <c r="E48" s="1299">
        <v>1</v>
      </c>
      <c r="F48" s="1299">
        <v>309844</v>
      </c>
    </row>
    <row r="49" spans="1:6">
      <c r="A49" s="1298" t="s">
        <v>31</v>
      </c>
      <c r="B49" s="1298" t="s">
        <v>39</v>
      </c>
      <c r="C49" s="1299">
        <v>5</v>
      </c>
      <c r="D49" s="1299">
        <v>7422703.2290000003</v>
      </c>
      <c r="E49" s="1299">
        <v>9</v>
      </c>
      <c r="F49" s="1299">
        <v>14117177</v>
      </c>
    </row>
    <row r="50" spans="1:6">
      <c r="A50" s="1298" t="s">
        <v>31</v>
      </c>
      <c r="B50" s="1298" t="s">
        <v>40</v>
      </c>
      <c r="C50" s="1299">
        <v>17</v>
      </c>
      <c r="D50" s="1299">
        <v>6476446.9709999999</v>
      </c>
      <c r="E50" s="1299">
        <v>39</v>
      </c>
      <c r="F50" s="1299">
        <v>9080558</v>
      </c>
    </row>
    <row r="51" spans="1:6">
      <c r="A51" s="1298" t="s">
        <v>41</v>
      </c>
      <c r="B51" s="1298" t="s">
        <v>42</v>
      </c>
      <c r="C51" s="1299">
        <v>7</v>
      </c>
      <c r="D51" s="1299">
        <v>264808</v>
      </c>
      <c r="E51" s="1299">
        <v>26</v>
      </c>
      <c r="F51" s="1299">
        <v>335885</v>
      </c>
    </row>
    <row r="52" spans="1:6">
      <c r="A52" s="1298" t="s">
        <v>41</v>
      </c>
      <c r="B52" s="1298" t="s">
        <v>28</v>
      </c>
      <c r="C52" s="1299">
        <v>0</v>
      </c>
      <c r="D52" s="1299">
        <v>0</v>
      </c>
      <c r="E52" s="1299">
        <v>0</v>
      </c>
      <c r="F52" s="1299">
        <v>0</v>
      </c>
    </row>
    <row r="53" spans="1:6">
      <c r="A53" s="1298" t="s">
        <v>43</v>
      </c>
      <c r="B53" s="1298" t="s">
        <v>44</v>
      </c>
      <c r="C53" s="1299">
        <v>181</v>
      </c>
      <c r="D53" s="1299">
        <v>10869674.971000001</v>
      </c>
      <c r="E53" s="1299">
        <v>588</v>
      </c>
      <c r="F53" s="1299">
        <v>6730312.2000000002</v>
      </c>
    </row>
    <row r="54" spans="1:6">
      <c r="A54" s="1298" t="s">
        <v>45</v>
      </c>
      <c r="B54" s="1298" t="s">
        <v>46</v>
      </c>
      <c r="C54" s="1299">
        <v>0</v>
      </c>
      <c r="D54" s="1299">
        <v>0</v>
      </c>
      <c r="E54" s="1299">
        <v>3</v>
      </c>
      <c r="F54" s="1299">
        <v>4387572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193</v>
      </c>
      <c r="D57" s="1299">
        <v>11512383.25</v>
      </c>
      <c r="E57" s="1299">
        <v>376</v>
      </c>
      <c r="F57" s="1299">
        <v>18466845.614</v>
      </c>
    </row>
    <row r="58" spans="1:6">
      <c r="A58" s="1298" t="s">
        <v>48</v>
      </c>
      <c r="B58" s="1298" t="s">
        <v>50</v>
      </c>
      <c r="C58" s="1299">
        <v>136</v>
      </c>
      <c r="D58" s="1299">
        <v>24505713.956999999</v>
      </c>
      <c r="E58" s="1299">
        <v>241</v>
      </c>
      <c r="F58" s="1299">
        <v>28189265.699999999</v>
      </c>
    </row>
    <row r="59" spans="1:6">
      <c r="A59" s="1298" t="s">
        <v>48</v>
      </c>
      <c r="B59" s="1298" t="s">
        <v>51</v>
      </c>
      <c r="C59" s="1299">
        <v>386</v>
      </c>
      <c r="D59" s="1299">
        <v>31430968.410999998</v>
      </c>
      <c r="E59" s="1299">
        <v>992</v>
      </c>
      <c r="F59" s="1299">
        <v>53085820.140000001</v>
      </c>
    </row>
    <row r="60" spans="1:6">
      <c r="A60" s="1298" t="s">
        <v>48</v>
      </c>
      <c r="B60" s="1298" t="s">
        <v>52</v>
      </c>
      <c r="C60" s="1299">
        <v>233</v>
      </c>
      <c r="D60" s="1299">
        <v>19136970.614</v>
      </c>
      <c r="E60" s="1299">
        <v>404</v>
      </c>
      <c r="F60" s="1299">
        <v>14666986.343</v>
      </c>
    </row>
    <row r="61" spans="1:6">
      <c r="A61" s="1298" t="s">
        <v>48</v>
      </c>
      <c r="B61" s="1298" t="s">
        <v>53</v>
      </c>
      <c r="C61" s="1299">
        <v>468</v>
      </c>
      <c r="D61" s="1299">
        <v>50576876.402000003</v>
      </c>
      <c r="E61" s="1299">
        <v>1473</v>
      </c>
      <c r="F61" s="1299">
        <v>42452188.207000002</v>
      </c>
    </row>
    <row r="62" spans="1:6">
      <c r="A62" s="1298" t="s">
        <v>48</v>
      </c>
      <c r="B62" s="1298" t="s">
        <v>54</v>
      </c>
      <c r="C62" s="1299">
        <v>48</v>
      </c>
      <c r="D62" s="1299">
        <v>8354348.6859999998</v>
      </c>
      <c r="E62" s="1299">
        <v>67</v>
      </c>
      <c r="F62" s="1299">
        <v>3953171.73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2565</v>
      </c>
      <c r="E65" s="1299">
        <v>1</v>
      </c>
      <c r="F65" s="1299">
        <v>10785</v>
      </c>
    </row>
    <row r="66" spans="1:6">
      <c r="A66" s="1298" t="s">
        <v>55</v>
      </c>
      <c r="B66" s="1298" t="s">
        <v>57</v>
      </c>
      <c r="C66" s="1299">
        <v>0</v>
      </c>
      <c r="D66" s="1299">
        <v>0</v>
      </c>
      <c r="E66" s="1299">
        <v>42</v>
      </c>
      <c r="F66" s="1299">
        <v>2018224.7620000001</v>
      </c>
    </row>
    <row r="67" spans="1:6">
      <c r="A67" s="1300" t="s">
        <v>55</v>
      </c>
      <c r="B67" s="1300" t="s">
        <v>58</v>
      </c>
      <c r="C67" s="1299">
        <v>0</v>
      </c>
      <c r="D67" s="1299">
        <v>0</v>
      </c>
      <c r="E67" s="1299">
        <v>0</v>
      </c>
      <c r="F67" s="1299">
        <v>0</v>
      </c>
    </row>
    <row r="68" spans="1:6">
      <c r="A68" s="1293" t="s">
        <v>55</v>
      </c>
      <c r="B68" s="1293" t="s">
        <v>59</v>
      </c>
      <c r="C68" s="1302">
        <v>18</v>
      </c>
      <c r="D68" s="1302">
        <v>1091520</v>
      </c>
      <c r="E68" s="1302">
        <v>39</v>
      </c>
      <c r="F68" s="1302">
        <v>1364539.8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174677750</v>
      </c>
      <c r="E73" s="446"/>
      <c r="F73" s="326"/>
    </row>
    <row r="74" spans="1:6">
      <c r="A74" s="1298" t="s">
        <v>63</v>
      </c>
      <c r="B74" s="1298" t="s">
        <v>639</v>
      </c>
      <c r="C74" s="1312" t="s">
        <v>641</v>
      </c>
      <c r="D74" s="1313">
        <v>9703758</v>
      </c>
      <c r="E74" s="446"/>
      <c r="F74" s="326"/>
    </row>
    <row r="75" spans="1:6">
      <c r="A75" s="1298" t="s">
        <v>64</v>
      </c>
      <c r="B75" s="1298" t="s">
        <v>638</v>
      </c>
      <c r="C75" s="1312" t="s">
        <v>642</v>
      </c>
      <c r="D75" s="1313">
        <v>48584853</v>
      </c>
      <c r="E75" s="446"/>
      <c r="F75" s="326"/>
    </row>
    <row r="76" spans="1:6">
      <c r="A76" s="1298" t="s">
        <v>64</v>
      </c>
      <c r="B76" s="1298" t="s">
        <v>639</v>
      </c>
      <c r="C76" s="1312" t="s">
        <v>643</v>
      </c>
      <c r="D76" s="1313">
        <v>137278.80000000002</v>
      </c>
      <c r="E76" s="446"/>
      <c r="F76" s="326"/>
    </row>
    <row r="77" spans="1:6">
      <c r="A77" s="1298" t="s">
        <v>65</v>
      </c>
      <c r="B77" s="1298" t="s">
        <v>638</v>
      </c>
      <c r="C77" s="1312" t="s">
        <v>644</v>
      </c>
      <c r="D77" s="1313">
        <v>164962955</v>
      </c>
      <c r="E77" s="446"/>
      <c r="F77" s="326"/>
    </row>
    <row r="78" spans="1:6">
      <c r="A78" s="1293" t="s">
        <v>65</v>
      </c>
      <c r="B78" s="1293" t="s">
        <v>639</v>
      </c>
      <c r="C78" s="1293" t="s">
        <v>645</v>
      </c>
      <c r="D78" s="1314">
        <v>30007154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4004306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71551.249422814159</v>
      </c>
      <c r="C90" s="326"/>
      <c r="D90" s="326"/>
      <c r="E90" s="326"/>
      <c r="F90" s="326"/>
    </row>
    <row r="91" spans="1:6">
      <c r="A91" s="1298" t="s">
        <v>67</v>
      </c>
      <c r="B91" s="1299">
        <v>12210.22004872125</v>
      </c>
      <c r="C91" s="326"/>
      <c r="D91" s="326"/>
      <c r="E91" s="326"/>
      <c r="F91" s="326"/>
    </row>
    <row r="92" spans="1:6">
      <c r="A92" s="1293" t="s">
        <v>68</v>
      </c>
      <c r="B92" s="1294">
        <v>23935.549095596358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3815</v>
      </c>
      <c r="C97" s="326"/>
      <c r="D97" s="326"/>
      <c r="E97" s="326"/>
      <c r="F97" s="326"/>
    </row>
    <row r="98" spans="1:6">
      <c r="A98" s="1298" t="s">
        <v>71</v>
      </c>
      <c r="B98" s="1299">
        <v>9</v>
      </c>
      <c r="C98" s="326"/>
      <c r="D98" s="326"/>
      <c r="E98" s="326"/>
      <c r="F98" s="326"/>
    </row>
    <row r="99" spans="1:6">
      <c r="A99" s="1298" t="s">
        <v>72</v>
      </c>
      <c r="B99" s="1299">
        <v>73</v>
      </c>
      <c r="C99" s="326"/>
      <c r="D99" s="326"/>
      <c r="E99" s="326"/>
      <c r="F99" s="326"/>
    </row>
    <row r="100" spans="1:6">
      <c r="A100" s="1298" t="s">
        <v>73</v>
      </c>
      <c r="B100" s="1299">
        <v>4328</v>
      </c>
      <c r="C100" s="326"/>
      <c r="D100" s="326"/>
      <c r="E100" s="326"/>
      <c r="F100" s="326"/>
    </row>
    <row r="101" spans="1:6">
      <c r="A101" s="1298" t="s">
        <v>74</v>
      </c>
      <c r="B101" s="1299">
        <v>91</v>
      </c>
      <c r="C101" s="326"/>
      <c r="D101" s="326"/>
      <c r="E101" s="326"/>
      <c r="F101" s="326"/>
    </row>
    <row r="102" spans="1:6">
      <c r="A102" s="1298" t="s">
        <v>75</v>
      </c>
      <c r="B102" s="1299">
        <v>353</v>
      </c>
      <c r="C102" s="326"/>
      <c r="D102" s="326"/>
      <c r="E102" s="326"/>
      <c r="F102" s="326"/>
    </row>
    <row r="103" spans="1:6">
      <c r="A103" s="1298" t="s">
        <v>76</v>
      </c>
      <c r="B103" s="1299">
        <v>446</v>
      </c>
      <c r="C103" s="326"/>
      <c r="D103" s="326"/>
      <c r="E103" s="326"/>
      <c r="F103" s="326"/>
    </row>
    <row r="104" spans="1:6">
      <c r="A104" s="1298" t="s">
        <v>77</v>
      </c>
      <c r="B104" s="1299">
        <v>12961</v>
      </c>
      <c r="C104" s="326"/>
      <c r="D104" s="326"/>
      <c r="E104" s="326"/>
      <c r="F104" s="326"/>
    </row>
    <row r="105" spans="1:6">
      <c r="A105" s="1293" t="s">
        <v>78</v>
      </c>
      <c r="B105" s="1302">
        <v>14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1</v>
      </c>
      <c r="C122" s="1299">
        <v>0</v>
      </c>
      <c r="D122" s="326"/>
      <c r="E122" s="326"/>
      <c r="F122" s="326"/>
    </row>
    <row r="123" spans="1:6">
      <c r="A123" s="1298" t="s">
        <v>87</v>
      </c>
      <c r="B123" s="1299">
        <v>78</v>
      </c>
      <c r="C123" s="1299">
        <v>83</v>
      </c>
      <c r="D123" s="326"/>
      <c r="E123" s="326"/>
      <c r="F123" s="326"/>
    </row>
    <row r="124" spans="1:6" s="43" customFormat="1">
      <c r="A124" s="1300" t="s">
        <v>88</v>
      </c>
      <c r="B124" s="1321">
        <v>2</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905</v>
      </c>
      <c r="C129" s="326"/>
      <c r="D129" s="326"/>
      <c r="E129" s="326"/>
      <c r="F129" s="326"/>
    </row>
    <row r="130" spans="1:6">
      <c r="A130" s="1298" t="s">
        <v>289</v>
      </c>
      <c r="B130" s="1299">
        <v>5</v>
      </c>
      <c r="C130" s="326"/>
      <c r="D130" s="326"/>
      <c r="E130" s="326"/>
      <c r="F130" s="326"/>
    </row>
    <row r="131" spans="1:6">
      <c r="A131" s="1298" t="s">
        <v>290</v>
      </c>
      <c r="B131" s="1299">
        <v>5</v>
      </c>
      <c r="C131" s="326"/>
      <c r="D131" s="326"/>
      <c r="E131" s="326"/>
      <c r="F131" s="326"/>
    </row>
    <row r="132" spans="1:6">
      <c r="A132" s="1293" t="s">
        <v>291</v>
      </c>
      <c r="B132" s="1294">
        <v>99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520494.75476102374</v>
      </c>
      <c r="C3" s="43" t="s">
        <v>169</v>
      </c>
      <c r="D3" s="43"/>
      <c r="E3" s="154"/>
      <c r="F3" s="43"/>
      <c r="G3" s="43"/>
      <c r="H3" s="43"/>
      <c r="I3" s="43"/>
      <c r="J3" s="43"/>
      <c r="K3" s="96"/>
    </row>
    <row r="4" spans="1:11">
      <c r="A4" s="354" t="s">
        <v>170</v>
      </c>
      <c r="B4" s="49">
        <f>IF(ISERROR('SEAP template'!B78+'SEAP template'!C78),0,'SEAP template'!B78+'SEAP template'!C78)</f>
        <v>109384.51856713177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16.041176470588237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0.17458658813390496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22.915966386554619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96.428571428571431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4387.5720000000001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4387.5720000000001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0.17458658813390496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766.01122567185371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106733.27045</v>
      </c>
      <c r="C5" s="17">
        <f>IF(ISERROR('Eigen informatie GS &amp; warmtenet'!B59),0,'Eigen informatie GS &amp; warmtenet'!B59)</f>
        <v>0</v>
      </c>
      <c r="D5" s="30">
        <f>(SUM(HH_hh_gas_kWh,HH_rest_gas_kWh)/1000)*0.902</f>
        <v>179000.545726376</v>
      </c>
      <c r="E5" s="17">
        <f>B32*B41</f>
        <v>11516.804641336985</v>
      </c>
      <c r="F5" s="17">
        <f>B36*B45</f>
        <v>185666.24048853372</v>
      </c>
      <c r="G5" s="18"/>
      <c r="H5" s="17"/>
      <c r="I5" s="17"/>
      <c r="J5" s="17">
        <f>B35*B44+C35*C44</f>
        <v>741.72844506931733</v>
      </c>
      <c r="K5" s="17"/>
      <c r="L5" s="17"/>
      <c r="M5" s="17"/>
      <c r="N5" s="17">
        <f>B34*B43+C34*C43</f>
        <v>37351.04627236454</v>
      </c>
      <c r="O5" s="17">
        <f>B52*B53*B54</f>
        <v>1968.0865536319354</v>
      </c>
      <c r="P5" s="17">
        <f>B60*B61*B62/1000-B60*B61*B62/1000/B63</f>
        <v>1885.578716075619</v>
      </c>
    </row>
    <row r="6" spans="1:16">
      <c r="A6" s="16" t="s">
        <v>604</v>
      </c>
      <c r="B6" s="778">
        <f>kWh_PV_kleiner_dan_10kW</f>
        <v>12210.22004872125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118943.49049872125</v>
      </c>
      <c r="C8" s="21">
        <f>C5</f>
        <v>0</v>
      </c>
      <c r="D8" s="21">
        <f>D5</f>
        <v>179000.545726376</v>
      </c>
      <c r="E8" s="21">
        <f>E5</f>
        <v>11516.804641336985</v>
      </c>
      <c r="F8" s="21">
        <f>F5</f>
        <v>185666.24048853372</v>
      </c>
      <c r="G8" s="21"/>
      <c r="H8" s="21"/>
      <c r="I8" s="21"/>
      <c r="J8" s="21">
        <f>J5</f>
        <v>741.72844506931733</v>
      </c>
      <c r="K8" s="21"/>
      <c r="L8" s="21">
        <f>L5</f>
        <v>0</v>
      </c>
      <c r="M8" s="21">
        <f>M5</f>
        <v>0</v>
      </c>
      <c r="N8" s="21">
        <f>N5</f>
        <v>37351.04627236454</v>
      </c>
      <c r="O8" s="21">
        <f>O5</f>
        <v>1968.0865536319354</v>
      </c>
      <c r="P8" s="21">
        <f>P5</f>
        <v>1885.578716075619</v>
      </c>
    </row>
    <row r="9" spans="1:16">
      <c r="B9" s="19"/>
      <c r="C9" s="19"/>
      <c r="D9" s="256"/>
      <c r="E9" s="19"/>
      <c r="F9" s="19"/>
      <c r="G9" s="19"/>
      <c r="H9" s="19"/>
      <c r="I9" s="19"/>
      <c r="J9" s="19"/>
      <c r="K9" s="19"/>
      <c r="L9" s="19"/>
      <c r="M9" s="19"/>
      <c r="N9" s="19"/>
      <c r="O9" s="19"/>
      <c r="P9" s="19"/>
    </row>
    <row r="10" spans="1:16">
      <c r="A10" s="24" t="s">
        <v>213</v>
      </c>
      <c r="B10" s="25">
        <f ca="1">'EF ele_warmte'!B12</f>
        <v>0.17458658813390496</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20765.938186909283</v>
      </c>
      <c r="C12" s="23">
        <f ca="1">C10*C8</f>
        <v>0</v>
      </c>
      <c r="D12" s="23">
        <f>D8*D10</f>
        <v>36158.110236727953</v>
      </c>
      <c r="E12" s="23">
        <f>E10*E8</f>
        <v>2614.3146535834958</v>
      </c>
      <c r="F12" s="23">
        <f>F10*F8</f>
        <v>49572.886210438504</v>
      </c>
      <c r="G12" s="23"/>
      <c r="H12" s="23"/>
      <c r="I12" s="23"/>
      <c r="J12" s="23">
        <f>J10*J8</f>
        <v>262.5718695545383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25994</v>
      </c>
      <c r="C26" s="36"/>
      <c r="D26" s="226"/>
    </row>
    <row r="27" spans="1:7" s="15" customFormat="1">
      <c r="A27" s="228" t="s">
        <v>806</v>
      </c>
      <c r="B27" s="37">
        <f>SUM(HH_hh_gas_aantal,HH_rest_gas_aantal)</f>
        <v>13119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12463.05</v>
      </c>
      <c r="C31" s="166" t="s">
        <v>110</v>
      </c>
      <c r="D31" s="231"/>
      <c r="G31" s="15"/>
    </row>
    <row r="32" spans="1:7">
      <c r="A32" s="169" t="s">
        <v>72</v>
      </c>
      <c r="B32" s="166">
        <f>IF((B21*($B$26-($B$27-0.05*$B$27)-$B$60))&lt;0,0,B21*($B$26-($B$27-0.05*$B$27)-$B$60))</f>
        <v>211.9648592014814</v>
      </c>
      <c r="C32" s="166" t="s">
        <v>110</v>
      </c>
      <c r="D32" s="231"/>
      <c r="G32" s="15"/>
    </row>
    <row r="33" spans="1:7">
      <c r="A33" s="169" t="s">
        <v>73</v>
      </c>
      <c r="B33" s="166">
        <f>IF((B22*($B$26-($B$27-0.05*$B$27)-$B$60))&lt;0,0,B22*($B$26-($B$27-0.05*$B$27)-$B$60))</f>
        <v>3441.8895124207206</v>
      </c>
      <c r="C33" s="166" t="s">
        <v>110</v>
      </c>
      <c r="D33" s="231"/>
      <c r="G33" s="15"/>
    </row>
    <row r="34" spans="1:7">
      <c r="A34" s="169" t="s">
        <v>74</v>
      </c>
      <c r="B34" s="166">
        <f>IF((B24*($B$26-($B$27-0.05*$B$27)-$B$60))&lt;0,0,B24*($B$26-($B$27-0.05*$B$27)-$B$60))</f>
        <v>659.85628049387412</v>
      </c>
      <c r="C34" s="166">
        <f>B26*C24</f>
        <v>5326.3249993313093</v>
      </c>
      <c r="D34" s="231"/>
      <c r="G34" s="15"/>
    </row>
    <row r="35" spans="1:7">
      <c r="A35" s="169" t="s">
        <v>76</v>
      </c>
      <c r="B35" s="166">
        <f>IF((B19*($B$26-($B$27-0.05*$B$27)-$B$60))&lt;0,0,B19*($B$26-($B$27-0.05*$B$27)-$B$60))</f>
        <v>92.140618956827822</v>
      </c>
      <c r="C35" s="166">
        <f>B35/2</f>
        <v>46.070309478413911</v>
      </c>
      <c r="D35" s="232"/>
      <c r="G35" s="15"/>
    </row>
    <row r="36" spans="1:7">
      <c r="A36" s="169" t="s">
        <v>77</v>
      </c>
      <c r="B36" s="166">
        <f>IF((B18*($B$26-($B$27-0.05*$B$27)-$B$60))&lt;0,0,B18*($B$26-($B$27-0.05*$B$27)-$B$60))</f>
        <v>8946.0987289270943</v>
      </c>
      <c r="C36" s="166" t="s">
        <v>110</v>
      </c>
      <c r="D36" s="232"/>
      <c r="G36" s="15"/>
    </row>
    <row r="37" spans="1:7">
      <c r="A37" s="169" t="s">
        <v>78</v>
      </c>
      <c r="B37" s="166">
        <f>B60</f>
        <v>179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992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179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160814.27773399997</v>
      </c>
      <c r="C5" s="17">
        <f>IF(ISERROR('Eigen informatie GS &amp; warmtenet'!B60),0,'Eigen informatie GS &amp; warmtenet'!B60)</f>
        <v>0</v>
      </c>
      <c r="D5" s="30">
        <f>SUM(D6:D12)</f>
        <v>131256.56971064</v>
      </c>
      <c r="E5" s="17">
        <f>SUM(E6:E12)</f>
        <v>2105.8830285375639</v>
      </c>
      <c r="F5" s="17">
        <f>SUM(F6:F12)</f>
        <v>17680.136617965705</v>
      </c>
      <c r="G5" s="18"/>
      <c r="H5" s="17"/>
      <c r="I5" s="17"/>
      <c r="J5" s="17">
        <f>SUM(J6:J12)</f>
        <v>0.31349417989100925</v>
      </c>
      <c r="K5" s="17"/>
      <c r="L5" s="17"/>
      <c r="M5" s="17"/>
      <c r="N5" s="17">
        <f>SUM(N6:N12)</f>
        <v>12491.257138937859</v>
      </c>
      <c r="O5" s="17">
        <f>B38*B39*B40</f>
        <v>24.486303829205774</v>
      </c>
      <c r="P5" s="17">
        <f>B46*B47*B48/1000-B46*B47*B48/1000/B49</f>
        <v>367.77396814546512</v>
      </c>
      <c r="R5" s="32"/>
    </row>
    <row r="6" spans="1:18">
      <c r="A6" s="32" t="s">
        <v>53</v>
      </c>
      <c r="B6" s="37">
        <f>B26</f>
        <v>42452.188206999999</v>
      </c>
      <c r="C6" s="33"/>
      <c r="D6" s="37">
        <f>IF(ISERROR(TER_kantoor_gas_kWh/1000),0,TER_kantoor_gas_kWh/1000)*0.902</f>
        <v>45620.342514604003</v>
      </c>
      <c r="E6" s="33">
        <f>$C$26*'E Balans VL '!I12/100/3.6*1000000</f>
        <v>341.59914725786342</v>
      </c>
      <c r="F6" s="33">
        <f>$C$26*('E Balans VL '!L12+'E Balans VL '!N12)/100/3.6*1000000</f>
        <v>5190.2265910280476</v>
      </c>
      <c r="G6" s="34"/>
      <c r="H6" s="33"/>
      <c r="I6" s="33"/>
      <c r="J6" s="33">
        <f>$C$26*('E Balans VL '!D12+'E Balans VL '!E12)/100/3.6*1000000</f>
        <v>0</v>
      </c>
      <c r="K6" s="33"/>
      <c r="L6" s="33"/>
      <c r="M6" s="33"/>
      <c r="N6" s="33">
        <f>$C$26*'E Balans VL '!Y12/100/3.6*1000000</f>
        <v>22.815960617262288</v>
      </c>
      <c r="O6" s="33"/>
      <c r="P6" s="33"/>
      <c r="R6" s="32"/>
    </row>
    <row r="7" spans="1:18">
      <c r="A7" s="32" t="s">
        <v>52</v>
      </c>
      <c r="B7" s="37">
        <f t="shared" ref="B7:B12" si="0">B27</f>
        <v>14666.986343</v>
      </c>
      <c r="C7" s="33"/>
      <c r="D7" s="37">
        <f>IF(ISERROR(TER_horeca_gas_kWh/1000),0,TER_horeca_gas_kWh/1000)*0.902</f>
        <v>17261.547493828002</v>
      </c>
      <c r="E7" s="33">
        <f>$C$27*'E Balans VL '!I9/100/3.6*1000000</f>
        <v>157.48741750194537</v>
      </c>
      <c r="F7" s="33">
        <f>$C$27*('E Balans VL '!L9+'E Balans VL '!N9)/100/3.6*1000000</f>
        <v>1764.0828018181539</v>
      </c>
      <c r="G7" s="34"/>
      <c r="H7" s="33"/>
      <c r="I7" s="33"/>
      <c r="J7" s="33">
        <f>$C$27*('E Balans VL '!D9+'E Balans VL '!E9)/100/3.6*1000000</f>
        <v>0</v>
      </c>
      <c r="K7" s="33"/>
      <c r="L7" s="33"/>
      <c r="M7" s="33"/>
      <c r="N7" s="33">
        <f>$C$27*'E Balans VL '!Y9/100/3.6*1000000</f>
        <v>2.1988785181168073</v>
      </c>
      <c r="O7" s="33"/>
      <c r="P7" s="33"/>
      <c r="R7" s="32"/>
    </row>
    <row r="8" spans="1:18">
      <c r="A8" s="6" t="s">
        <v>51</v>
      </c>
      <c r="B8" s="37">
        <f t="shared" si="0"/>
        <v>53085.820140000003</v>
      </c>
      <c r="C8" s="33"/>
      <c r="D8" s="37">
        <f>IF(ISERROR(TER_handel_gas_kWh/1000),0,TER_handel_gas_kWh/1000)*0.902</f>
        <v>28350.733506721997</v>
      </c>
      <c r="E8" s="33">
        <f>$C$28*'E Balans VL '!I13/100/3.6*1000000</f>
        <v>1424.6608918958209</v>
      </c>
      <c r="F8" s="33">
        <f>$C$28*('E Balans VL '!L13+'E Balans VL '!N13)/100/3.6*1000000</f>
        <v>5066.023388520367</v>
      </c>
      <c r="G8" s="34"/>
      <c r="H8" s="33"/>
      <c r="I8" s="33"/>
      <c r="J8" s="33">
        <f>$C$28*('E Balans VL '!D13+'E Balans VL '!E13)/100/3.6*1000000</f>
        <v>0</v>
      </c>
      <c r="K8" s="33"/>
      <c r="L8" s="33"/>
      <c r="M8" s="33"/>
      <c r="N8" s="33">
        <f>$C$28*'E Balans VL '!Y13/100/3.6*1000000</f>
        <v>21.043822709734549</v>
      </c>
      <c r="O8" s="33"/>
      <c r="P8" s="33"/>
      <c r="R8" s="32"/>
    </row>
    <row r="9" spans="1:18">
      <c r="A9" s="32" t="s">
        <v>50</v>
      </c>
      <c r="B9" s="37">
        <f t="shared" si="0"/>
        <v>28189.2657</v>
      </c>
      <c r="C9" s="33"/>
      <c r="D9" s="37">
        <f>IF(ISERROR(TER_gezond_gas_kWh/1000),0,TER_gezond_gas_kWh/1000)*0.902</f>
        <v>22104.153989213999</v>
      </c>
      <c r="E9" s="33">
        <f>$C$29*'E Balans VL '!I10/100/3.6*1000000</f>
        <v>52.835862745291273</v>
      </c>
      <c r="F9" s="33">
        <f>$C$29*('E Balans VL '!L10+'E Balans VL '!N10)/100/3.6*1000000</f>
        <v>2317.4148477708422</v>
      </c>
      <c r="G9" s="34"/>
      <c r="H9" s="33"/>
      <c r="I9" s="33"/>
      <c r="J9" s="33">
        <f>$C$29*('E Balans VL '!D10+'E Balans VL '!E10)/100/3.6*1000000</f>
        <v>0</v>
      </c>
      <c r="K9" s="33"/>
      <c r="L9" s="33"/>
      <c r="M9" s="33"/>
      <c r="N9" s="33">
        <f>$C$29*'E Balans VL '!Y10/100/3.6*1000000</f>
        <v>219.33351936026696</v>
      </c>
      <c r="O9" s="33"/>
      <c r="P9" s="33"/>
      <c r="R9" s="32"/>
    </row>
    <row r="10" spans="1:18">
      <c r="A10" s="32" t="s">
        <v>49</v>
      </c>
      <c r="B10" s="37">
        <f t="shared" si="0"/>
        <v>18466.845614000002</v>
      </c>
      <c r="C10" s="33"/>
      <c r="D10" s="37">
        <f>IF(ISERROR(TER_ander_gas_kWh/1000),0,TER_ander_gas_kWh/1000)*0.902</f>
        <v>10384.169691500001</v>
      </c>
      <c r="E10" s="33">
        <f>$C$30*'E Balans VL '!I14/100/3.6*1000000</f>
        <v>28.466829635636341</v>
      </c>
      <c r="F10" s="33">
        <f>$C$30*('E Balans VL '!L14+'E Balans VL '!N14)/100/3.6*1000000</f>
        <v>2866.9828796265169</v>
      </c>
      <c r="G10" s="34"/>
      <c r="H10" s="33"/>
      <c r="I10" s="33"/>
      <c r="J10" s="33">
        <f>$C$30*('E Balans VL '!D14+'E Balans VL '!E14)/100/3.6*1000000</f>
        <v>0.31349417989100925</v>
      </c>
      <c r="K10" s="33"/>
      <c r="L10" s="33"/>
      <c r="M10" s="33"/>
      <c r="N10" s="33">
        <f>$C$30*'E Balans VL '!Y14/100/3.6*1000000</f>
        <v>12217.073200263179</v>
      </c>
      <c r="O10" s="33"/>
      <c r="P10" s="33"/>
      <c r="R10" s="32"/>
    </row>
    <row r="11" spans="1:18">
      <c r="A11" s="32" t="s">
        <v>54</v>
      </c>
      <c r="B11" s="37">
        <f t="shared" si="0"/>
        <v>3953.17173</v>
      </c>
      <c r="C11" s="33"/>
      <c r="D11" s="37">
        <f>IF(ISERROR(TER_onderwijs_gas_kWh/1000),0,TER_onderwijs_gas_kWh/1000)*0.902</f>
        <v>7535.6225147719997</v>
      </c>
      <c r="E11" s="33">
        <f>$C$31*'E Balans VL '!I11/100/3.6*1000000</f>
        <v>100.83287950100662</v>
      </c>
      <c r="F11" s="33">
        <f>$C$31*('E Balans VL '!L11+'E Balans VL '!N11)/100/3.6*1000000</f>
        <v>475.40610920177852</v>
      </c>
      <c r="G11" s="34"/>
      <c r="H11" s="33"/>
      <c r="I11" s="33"/>
      <c r="J11" s="33">
        <f>$C$31*('E Balans VL '!D11+'E Balans VL '!E11)/100/3.6*1000000</f>
        <v>0</v>
      </c>
      <c r="K11" s="33"/>
      <c r="L11" s="33"/>
      <c r="M11" s="33"/>
      <c r="N11" s="33">
        <f>$C$31*'E Balans VL '!Y11/100/3.6*1000000</f>
        <v>8.7917574692986378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1687.5</v>
      </c>
      <c r="C13" s="245">
        <f ca="1">'lokale energieproductie'!O38+'lokale energieproductie'!O31</f>
        <v>96.428571428571431</v>
      </c>
      <c r="D13" s="304">
        <f ca="1">('lokale energieproductie'!P31+'lokale energieproductie'!P38)*(-1)</f>
        <v>-192.85714285714286</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-4628.5714285714284</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162501.77773399997</v>
      </c>
      <c r="C16" s="21">
        <f t="shared" ca="1" si="1"/>
        <v>96.428571428571431</v>
      </c>
      <c r="D16" s="21">
        <f t="shared" ca="1" si="1"/>
        <v>131063.71256778286</v>
      </c>
      <c r="E16" s="21">
        <f t="shared" si="1"/>
        <v>2105.8830285375639</v>
      </c>
      <c r="F16" s="21">
        <f t="shared" ca="1" si="1"/>
        <v>17680.136617965705</v>
      </c>
      <c r="G16" s="21">
        <f t="shared" si="1"/>
        <v>0</v>
      </c>
      <c r="H16" s="21">
        <f t="shared" si="1"/>
        <v>0</v>
      </c>
      <c r="I16" s="21">
        <f t="shared" si="1"/>
        <v>0</v>
      </c>
      <c r="J16" s="21">
        <f t="shared" si="1"/>
        <v>0.31349417989100925</v>
      </c>
      <c r="K16" s="21">
        <f t="shared" si="1"/>
        <v>0</v>
      </c>
      <c r="L16" s="21">
        <f t="shared" ca="1" si="1"/>
        <v>0</v>
      </c>
      <c r="M16" s="21">
        <f t="shared" si="1"/>
        <v>0</v>
      </c>
      <c r="N16" s="21">
        <f t="shared" ca="1" si="1"/>
        <v>7862.6857103664306</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0.17458658813390496</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28370.630940273222</v>
      </c>
      <c r="C20" s="23">
        <f t="shared" ref="C20:P20" ca="1" si="2">C16*C18</f>
        <v>22.915966386554619</v>
      </c>
      <c r="D20" s="23">
        <f t="shared" ca="1" si="2"/>
        <v>26474.86993869214</v>
      </c>
      <c r="E20" s="23">
        <f t="shared" si="2"/>
        <v>478.03544747802704</v>
      </c>
      <c r="F20" s="23">
        <f t="shared" ca="1" si="2"/>
        <v>4720.5964769968432</v>
      </c>
      <c r="G20" s="23">
        <f t="shared" si="2"/>
        <v>0</v>
      </c>
      <c r="H20" s="23">
        <f t="shared" si="2"/>
        <v>0</v>
      </c>
      <c r="I20" s="23">
        <f t="shared" si="2"/>
        <v>0</v>
      </c>
      <c r="J20" s="23">
        <f t="shared" si="2"/>
        <v>0.11097693968141727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42452.188206999999</v>
      </c>
      <c r="C26" s="39">
        <f>IF(ISERROR(B26*3.6/1000000/'E Balans VL '!Z12*100),0,B26*3.6/1000000/'E Balans VL '!Z12*100)</f>
        <v>0.90058433351935396</v>
      </c>
      <c r="D26" s="235" t="s">
        <v>698</v>
      </c>
      <c r="F26" s="6"/>
    </row>
    <row r="27" spans="1:18">
      <c r="A27" s="229" t="s">
        <v>52</v>
      </c>
      <c r="B27" s="33">
        <f>IF(ISERROR(TER_horeca_ele_kWh/1000),0,TER_horeca_ele_kWh/1000)</f>
        <v>14666.986343</v>
      </c>
      <c r="C27" s="39">
        <f>IF(ISERROR(B27*3.6/1000000/'E Balans VL '!Z9*100),0,B27*3.6/1000000/'E Balans VL '!Z9*100)</f>
        <v>1.1045539992225997</v>
      </c>
      <c r="D27" s="235" t="s">
        <v>698</v>
      </c>
      <c r="F27" s="6"/>
    </row>
    <row r="28" spans="1:18">
      <c r="A28" s="169" t="s">
        <v>51</v>
      </c>
      <c r="B28" s="33">
        <f>IF(ISERROR(TER_handel_ele_kWh/1000),0,TER_handel_ele_kWh/1000)</f>
        <v>53085.820140000003</v>
      </c>
      <c r="C28" s="39">
        <f>IF(ISERROR(B28*3.6/1000000/'E Balans VL '!Z13*100),0,B28*3.6/1000000/'E Balans VL '!Z13*100)</f>
        <v>1.5408932609277195</v>
      </c>
      <c r="D28" s="235" t="s">
        <v>698</v>
      </c>
      <c r="F28" s="6"/>
    </row>
    <row r="29" spans="1:18">
      <c r="A29" s="229" t="s">
        <v>50</v>
      </c>
      <c r="B29" s="33">
        <f>IF(ISERROR(TER_gezond_ele_kWh/1000),0,TER_gezond_ele_kWh/1000)</f>
        <v>28189.2657</v>
      </c>
      <c r="C29" s="39">
        <f>IF(ISERROR(B29*3.6/1000000/'E Balans VL '!Z10*100),0,B29*3.6/1000000/'E Balans VL '!Z10*100)</f>
        <v>2.8429210629135402</v>
      </c>
      <c r="D29" s="235" t="s">
        <v>698</v>
      </c>
      <c r="F29" s="6"/>
    </row>
    <row r="30" spans="1:18">
      <c r="A30" s="229" t="s">
        <v>49</v>
      </c>
      <c r="B30" s="33">
        <f>IF(ISERROR(TER_ander_ele_kWh/1000),0,TER_ander_ele_kWh/1000)</f>
        <v>18466.845614000002</v>
      </c>
      <c r="C30" s="39">
        <f>IF(ISERROR(B30*3.6/1000000/'E Balans VL '!Z14*100),0,B30*3.6/1000000/'E Balans VL '!Z14*100)</f>
        <v>1.3400215832632489</v>
      </c>
      <c r="D30" s="235" t="s">
        <v>698</v>
      </c>
      <c r="F30" s="6"/>
    </row>
    <row r="31" spans="1:18">
      <c r="A31" s="229" t="s">
        <v>54</v>
      </c>
      <c r="B31" s="33">
        <f>IF(ISERROR(TER_onderwijs_ele_kWh/1000),0,TER_onderwijs_ele_kWh/1000)</f>
        <v>3953.17173</v>
      </c>
      <c r="C31" s="39">
        <f>IF(ISERROR(B31*3.6/1000000/'E Balans VL '!Z11*100),0,B31*3.6/1000000/'E Balans VL '!Z11*100)</f>
        <v>1.1268149236986884</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7</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227004.48597799998</v>
      </c>
      <c r="C5" s="17">
        <f>IF(ISERROR('Eigen informatie GS &amp; warmtenet'!B61),0,'Eigen informatie GS &amp; warmtenet'!B61)</f>
        <v>0</v>
      </c>
      <c r="D5" s="30">
        <f>SUM(D6:D15)</f>
        <v>73357.810632106004</v>
      </c>
      <c r="E5" s="17">
        <f>SUM(E6:E15)</f>
        <v>32324.546585709322</v>
      </c>
      <c r="F5" s="17">
        <f>SUM(F6:F15)</f>
        <v>99835.892879776817</v>
      </c>
      <c r="G5" s="18"/>
      <c r="H5" s="17"/>
      <c r="I5" s="17"/>
      <c r="J5" s="17">
        <f>SUM(J6:J15)</f>
        <v>1748.2517294622505</v>
      </c>
      <c r="K5" s="17"/>
      <c r="L5" s="17"/>
      <c r="M5" s="17"/>
      <c r="N5" s="17">
        <f>SUM(N6:N15)</f>
        <v>10042.654468020855</v>
      </c>
      <c r="O5" s="17">
        <f>B43*B44*B45</f>
        <v>0</v>
      </c>
      <c r="P5" s="17">
        <f>B51*B52*B53/1000-B51*B52*B53/1000/B54</f>
        <v>0</v>
      </c>
      <c r="R5" s="32"/>
    </row>
    <row r="6" spans="1:18">
      <c r="A6" s="6" t="s">
        <v>34</v>
      </c>
      <c r="B6" s="37">
        <f>IF( ISERROR(IND_ijzer_ele_kWh/1000),0,IND_ijzer_ele_kWh/1000)</f>
        <v>2401.88</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26761.487035000002</v>
      </c>
      <c r="C8" s="33"/>
      <c r="D8" s="37">
        <f>IF( ISERROR(IND_metaal_Gas_kWH/1000),0,IND_metaal_Gas_kWH/1000)*0.902</f>
        <v>42660.920272959993</v>
      </c>
      <c r="E8" s="33">
        <f>C30*'E Balans VL '!I18/100/3.6*1000000</f>
        <v>193.06534599047592</v>
      </c>
      <c r="F8" s="33">
        <f>C30*'E Balans VL '!L18/100/3.6*1000000+C30*'E Balans VL '!N18/100/3.6*1000000</f>
        <v>2531.1432262561598</v>
      </c>
      <c r="G8" s="34"/>
      <c r="H8" s="33"/>
      <c r="I8" s="33"/>
      <c r="J8" s="40">
        <f>C30*'E Balans VL '!D18/100/3.6*1000000+C30*'E Balans VL '!E18/100/3.6*1000000</f>
        <v>26.916859176106072</v>
      </c>
      <c r="K8" s="33"/>
      <c r="L8" s="33"/>
      <c r="M8" s="33"/>
      <c r="N8" s="33">
        <f>C30*'E Balans VL '!Y18/100/3.6*1000000</f>
        <v>338.33600002687643</v>
      </c>
      <c r="O8" s="33"/>
      <c r="P8" s="33"/>
      <c r="R8" s="32"/>
    </row>
    <row r="9" spans="1:18">
      <c r="A9" s="6" t="s">
        <v>32</v>
      </c>
      <c r="B9" s="37">
        <f t="shared" si="0"/>
        <v>115122.763943</v>
      </c>
      <c r="C9" s="33"/>
      <c r="D9" s="37">
        <f>IF( ISERROR(IND_andere_gas_kWh/1000),0,IND_andere_gas_kWh/1000)*0.902</f>
        <v>7218.1518626139996</v>
      </c>
      <c r="E9" s="33">
        <f>C31*'E Balans VL '!I19/100/3.6*1000000</f>
        <v>31902.057272816703</v>
      </c>
      <c r="F9" s="33">
        <f>C31*'E Balans VL '!L19/100/3.6*1000000+C31*'E Balans VL '!N19/100/3.6*1000000</f>
        <v>95413.99553816863</v>
      </c>
      <c r="G9" s="34"/>
      <c r="H9" s="33"/>
      <c r="I9" s="33"/>
      <c r="J9" s="40">
        <f>C31*'E Balans VL '!D19/100/3.6*1000000+C31*'E Balans VL '!E19/100/3.6*1000000</f>
        <v>0</v>
      </c>
      <c r="K9" s="33"/>
      <c r="L9" s="33"/>
      <c r="M9" s="33"/>
      <c r="N9" s="33">
        <f>C31*'E Balans VL '!Y19/100/3.6*1000000</f>
        <v>8356.5045584198997</v>
      </c>
      <c r="O9" s="33"/>
      <c r="P9" s="33"/>
      <c r="R9" s="32"/>
    </row>
    <row r="10" spans="1:18">
      <c r="A10" s="6" t="s">
        <v>40</v>
      </c>
      <c r="B10" s="37">
        <f t="shared" si="0"/>
        <v>9080.5580000000009</v>
      </c>
      <c r="C10" s="33"/>
      <c r="D10" s="37">
        <f>IF( ISERROR(IND_voed_gas_kWh/1000),0,IND_voed_gas_kWh/1000)*0.902</f>
        <v>5841.7551678420004</v>
      </c>
      <c r="E10" s="33">
        <f>C32*'E Balans VL '!I20/100/3.6*1000000</f>
        <v>16.075663442191804</v>
      </c>
      <c r="F10" s="33">
        <f>C32*'E Balans VL '!L20/100/3.6*1000000+C32*'E Balans VL '!N20/100/3.6*1000000</f>
        <v>490.43061226363415</v>
      </c>
      <c r="G10" s="34"/>
      <c r="H10" s="33"/>
      <c r="I10" s="33"/>
      <c r="J10" s="40">
        <f>C32*'E Balans VL '!D20/100/3.6*1000000+C32*'E Balans VL '!E20/100/3.6*1000000</f>
        <v>0</v>
      </c>
      <c r="K10" s="33"/>
      <c r="L10" s="33"/>
      <c r="M10" s="33"/>
      <c r="N10" s="33">
        <f>C32*'E Balans VL '!Y20/100/3.6*1000000</f>
        <v>527.64976888559727</v>
      </c>
      <c r="O10" s="33"/>
      <c r="P10" s="33"/>
      <c r="R10" s="32"/>
    </row>
    <row r="11" spans="1:18">
      <c r="A11" s="6" t="s">
        <v>39</v>
      </c>
      <c r="B11" s="37">
        <f t="shared" si="0"/>
        <v>14117.177</v>
      </c>
      <c r="C11" s="33"/>
      <c r="D11" s="37">
        <f>IF( ISERROR(IND_textiel_gas_kWh/1000),0,IND_textiel_gas_kWh/1000)*0.902</f>
        <v>6695.2783125580008</v>
      </c>
      <c r="E11" s="33">
        <f>C33*'E Balans VL '!I21/100/3.6*1000000</f>
        <v>49.764514216964578</v>
      </c>
      <c r="F11" s="33">
        <f>C33*'E Balans VL '!L21/100/3.6*1000000+C33*'E Balans VL '!N21/100/3.6*1000000</f>
        <v>414.36025523072647</v>
      </c>
      <c r="G11" s="34"/>
      <c r="H11" s="33"/>
      <c r="I11" s="33"/>
      <c r="J11" s="40">
        <f>C33*'E Balans VL '!D21/100/3.6*1000000+C33*'E Balans VL '!E21/100/3.6*1000000</f>
        <v>0</v>
      </c>
      <c r="K11" s="33"/>
      <c r="L11" s="33"/>
      <c r="M11" s="33"/>
      <c r="N11" s="33">
        <f>C33*'E Balans VL '!Y21/100/3.6*1000000</f>
        <v>622.00079779867747</v>
      </c>
      <c r="O11" s="33"/>
      <c r="P11" s="33"/>
      <c r="R11" s="32"/>
    </row>
    <row r="12" spans="1:18">
      <c r="A12" s="6" t="s">
        <v>36</v>
      </c>
      <c r="B12" s="37">
        <f t="shared" si="0"/>
        <v>656.72</v>
      </c>
      <c r="C12" s="33"/>
      <c r="D12" s="37">
        <f>IF( ISERROR(IND_min_gas_kWh/1000),0,IND_min_gas_kWh/1000)*0.902</f>
        <v>452.04361399999999</v>
      </c>
      <c r="E12" s="33">
        <f>C34*'E Balans VL '!I22/100/3.6*1000000</f>
        <v>28.919606257441085</v>
      </c>
      <c r="F12" s="33">
        <f>C34*'E Balans VL '!L22/100/3.6*1000000+C34*'E Balans VL '!N22/100/3.6*1000000</f>
        <v>256.80404200468837</v>
      </c>
      <c r="G12" s="34"/>
      <c r="H12" s="33"/>
      <c r="I12" s="33"/>
      <c r="J12" s="40">
        <f>C34*'E Balans VL '!D22/100/3.6*1000000+C34*'E Balans VL '!E22/100/3.6*1000000</f>
        <v>0.1994035291762965</v>
      </c>
      <c r="K12" s="33"/>
      <c r="L12" s="33"/>
      <c r="M12" s="33"/>
      <c r="N12" s="33">
        <f>C34*'E Balans VL '!Y22/100/3.6*1000000</f>
        <v>162.45262604786808</v>
      </c>
      <c r="O12" s="33"/>
      <c r="P12" s="33"/>
      <c r="R12" s="32"/>
    </row>
    <row r="13" spans="1:18">
      <c r="A13" s="6" t="s">
        <v>38</v>
      </c>
      <c r="B13" s="37">
        <f t="shared" si="0"/>
        <v>15708.297</v>
      </c>
      <c r="C13" s="33"/>
      <c r="D13" s="37">
        <f>IF( ISERROR(IND_papier_gas_kWh/1000),0,IND_papier_gas_kWh/1000)*0.902</f>
        <v>7191.9626019999996</v>
      </c>
      <c r="E13" s="33">
        <f>C35*'E Balans VL '!I23/100/3.6*1000000</f>
        <v>23.112298804789837</v>
      </c>
      <c r="F13" s="33">
        <f>C35*'E Balans VL '!L23/100/3.6*1000000+C35*'E Balans VL '!N23/100/3.6*1000000</f>
        <v>168.19355100483773</v>
      </c>
      <c r="G13" s="34"/>
      <c r="H13" s="33"/>
      <c r="I13" s="33"/>
      <c r="J13" s="40">
        <f>C35*'E Balans VL '!D23/100/3.6*1000000+C35*'E Balans VL '!E23/100/3.6*1000000</f>
        <v>1718.5757793200298</v>
      </c>
      <c r="K13" s="33"/>
      <c r="L13" s="33"/>
      <c r="M13" s="33"/>
      <c r="N13" s="33">
        <f>C35*'E Balans VL '!Y23/100/3.6*1000000</f>
        <v>0</v>
      </c>
      <c r="O13" s="33"/>
      <c r="P13" s="33"/>
      <c r="R13" s="32"/>
    </row>
    <row r="14" spans="1:18">
      <c r="A14" s="6" t="s">
        <v>33</v>
      </c>
      <c r="B14" s="37">
        <f t="shared" si="0"/>
        <v>42845.758999999998</v>
      </c>
      <c r="C14" s="33"/>
      <c r="D14" s="37">
        <f>IF( ISERROR(IND_chemie_gas_kWh/1000),0,IND_chemie_gas_kWh/1000)*0.902</f>
        <v>2196.898953546</v>
      </c>
      <c r="E14" s="33">
        <f>C36*'E Balans VL '!I24/100/3.6*1000000</f>
        <v>96.908476905890808</v>
      </c>
      <c r="F14" s="33">
        <f>C36*'E Balans VL '!L24/100/3.6*1000000+C36*'E Balans VL '!N24/100/3.6*1000000</f>
        <v>505.87864284512978</v>
      </c>
      <c r="G14" s="34"/>
      <c r="H14" s="33"/>
      <c r="I14" s="33"/>
      <c r="J14" s="40">
        <f>C36*'E Balans VL '!D24/100/3.6*1000000+C36*'E Balans VL '!E24/100/3.6*1000000</f>
        <v>0</v>
      </c>
      <c r="K14" s="33"/>
      <c r="L14" s="33"/>
      <c r="M14" s="33"/>
      <c r="N14" s="33">
        <f>C36*'E Balans VL '!Y24/100/3.6*1000000</f>
        <v>23.534534117685382</v>
      </c>
      <c r="O14" s="33"/>
      <c r="P14" s="33"/>
      <c r="R14" s="32"/>
    </row>
    <row r="15" spans="1:18">
      <c r="A15" s="6" t="s">
        <v>264</v>
      </c>
      <c r="B15" s="37">
        <f t="shared" si="0"/>
        <v>309.84399999999999</v>
      </c>
      <c r="C15" s="33"/>
      <c r="D15" s="37">
        <f>IF( ISERROR(IND_rest_gas_kWh/1000),0,IND_rest_gas_kWh/1000)*0.902</f>
        <v>1100.7998465860001</v>
      </c>
      <c r="E15" s="33">
        <f>C37*'E Balans VL '!I15/100/3.6*1000000</f>
        <v>14.643407274867403</v>
      </c>
      <c r="F15" s="33">
        <f>C37*'E Balans VL '!L15/100/3.6*1000000+C37*'E Balans VL '!N15/100/3.6*1000000</f>
        <v>55.087012003020284</v>
      </c>
      <c r="G15" s="34"/>
      <c r="H15" s="33"/>
      <c r="I15" s="33"/>
      <c r="J15" s="40">
        <f>C37*'E Balans VL '!D15/100/3.6*1000000+C37*'E Balans VL '!E15/100/3.6*1000000</f>
        <v>2.5596874369382698</v>
      </c>
      <c r="K15" s="33"/>
      <c r="L15" s="33"/>
      <c r="M15" s="33"/>
      <c r="N15" s="33">
        <f>C37*'E Balans VL '!Y15/100/3.6*1000000</f>
        <v>12.176182724249399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227004.48597799998</v>
      </c>
      <c r="C18" s="21">
        <f>C5+C16</f>
        <v>0</v>
      </c>
      <c r="D18" s="21">
        <f>MAX((D5+D16),0)</f>
        <v>73357.810632106004</v>
      </c>
      <c r="E18" s="21">
        <f>MAX((E5+E16),0)</f>
        <v>32324.546585709322</v>
      </c>
      <c r="F18" s="21">
        <f>MAX((F5+F16),0)</f>
        <v>99835.892879776817</v>
      </c>
      <c r="G18" s="21"/>
      <c r="H18" s="21"/>
      <c r="I18" s="21"/>
      <c r="J18" s="21">
        <f>MAX((J5+J16),0)</f>
        <v>1748.2517294622505</v>
      </c>
      <c r="K18" s="21"/>
      <c r="L18" s="21">
        <f>MAX((L5+L16),0)</f>
        <v>0</v>
      </c>
      <c r="M18" s="21"/>
      <c r="N18" s="21">
        <f>MAX((N5+N16),0)</f>
        <v>10042.654468020855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0.17458658813390496</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39631.938697989885</v>
      </c>
      <c r="C22" s="23">
        <f ca="1">C18*C20</f>
        <v>0</v>
      </c>
      <c r="D22" s="23">
        <f>D18*D20</f>
        <v>14818.277747685413</v>
      </c>
      <c r="E22" s="23">
        <f>E18*E20</f>
        <v>7337.6720749560163</v>
      </c>
      <c r="F22" s="23">
        <f>F18*F20</f>
        <v>26656.183398900412</v>
      </c>
      <c r="G22" s="23"/>
      <c r="H22" s="23"/>
      <c r="I22" s="23"/>
      <c r="J22" s="23">
        <f>J18*J20</f>
        <v>618.88111222963664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26761.487035000002</v>
      </c>
      <c r="C30" s="39">
        <f>IF(ISERROR(B30*3.6/1000000/'E Balans VL '!Z18*100),0,B30*3.6/1000000/'E Balans VL '!Z18*100)</f>
        <v>1.5448988893066682</v>
      </c>
      <c r="D30" s="235" t="s">
        <v>698</v>
      </c>
    </row>
    <row r="31" spans="1:18">
      <c r="A31" s="6" t="s">
        <v>32</v>
      </c>
      <c r="B31" s="37">
        <f>IF( ISERROR(IND_ander_ele_kWh/1000),0,IND_ander_ele_kWh/1000)</f>
        <v>115122.763943</v>
      </c>
      <c r="C31" s="39">
        <f>IF(ISERROR(B31*3.6/1000000/'E Balans VL '!Z19*100),0,B31*3.6/1000000/'E Balans VL '!Z19*100)</f>
        <v>5.7903018703425424</v>
      </c>
      <c r="D31" s="235" t="s">
        <v>698</v>
      </c>
    </row>
    <row r="32" spans="1:18">
      <c r="A32" s="169" t="s">
        <v>40</v>
      </c>
      <c r="B32" s="37">
        <f>IF( ISERROR(IND_voed_ele_kWh/1000),0,IND_voed_ele_kWh/1000)</f>
        <v>9080.5580000000009</v>
      </c>
      <c r="C32" s="39">
        <f>IF(ISERROR(B32*3.6/1000000/'E Balans VL '!Z20*100),0,B32*3.6/1000000/'E Balans VL '!Z20*100)</f>
        <v>0.30243650400615757</v>
      </c>
      <c r="D32" s="235" t="s">
        <v>698</v>
      </c>
    </row>
    <row r="33" spans="1:5">
      <c r="A33" s="169" t="s">
        <v>39</v>
      </c>
      <c r="B33" s="37">
        <f>IF( ISERROR(IND_textiel_ele_kWh/1000),0,IND_textiel_ele_kWh/1000)</f>
        <v>14117.177</v>
      </c>
      <c r="C33" s="39">
        <f>IF(ISERROR(B33*3.6/1000000/'E Balans VL '!Z21*100),0,B33*3.6/1000000/'E Balans VL '!Z21*100)</f>
        <v>2.2010475697035936</v>
      </c>
      <c r="D33" s="235" t="s">
        <v>698</v>
      </c>
    </row>
    <row r="34" spans="1:5">
      <c r="A34" s="169" t="s">
        <v>36</v>
      </c>
      <c r="B34" s="37">
        <f>IF( ISERROR(IND_min_ele_kWh/1000),0,IND_min_ele_kWh/1000)</f>
        <v>656.72</v>
      </c>
      <c r="C34" s="39">
        <f>IF(ISERROR(B34*3.6/1000000/'E Balans VL '!Z22*100),0,B34*3.6/1000000/'E Balans VL '!Z22*100)</f>
        <v>0.12250046161000504</v>
      </c>
      <c r="D34" s="235" t="s">
        <v>698</v>
      </c>
    </row>
    <row r="35" spans="1:5">
      <c r="A35" s="169" t="s">
        <v>38</v>
      </c>
      <c r="B35" s="37">
        <f>IF( ISERROR(IND_papier_ele_kWh/1000),0,IND_papier_ele_kWh/1000)</f>
        <v>15708.297</v>
      </c>
      <c r="C35" s="39">
        <f>IF(ISERROR(B35*3.6/1000000/'E Balans VL '!Z22*100),0,B35*3.6/1000000/'E Balans VL '!Z22*100)</f>
        <v>2.9301279595673302</v>
      </c>
      <c r="D35" s="235" t="s">
        <v>698</v>
      </c>
    </row>
    <row r="36" spans="1:5">
      <c r="A36" s="169" t="s">
        <v>33</v>
      </c>
      <c r="B36" s="37">
        <f>IF( ISERROR(IND_chemie_ele_kWh/1000),0,IND_chemie_ele_kWh/1000)</f>
        <v>42845.758999999998</v>
      </c>
      <c r="C36" s="39">
        <f>IF(ISERROR(B36*3.6/1000000/'E Balans VL '!Z24*100),0,B36*3.6/1000000/'E Balans VL '!Z24*100)</f>
        <v>1.1301096815215064</v>
      </c>
      <c r="D36" s="235" t="s">
        <v>698</v>
      </c>
    </row>
    <row r="37" spans="1:5">
      <c r="A37" s="169" t="s">
        <v>264</v>
      </c>
      <c r="B37" s="37">
        <f>IF( ISERROR(IND_rest_ele_kWh/1000),0,IND_rest_ele_kWh/1000)</f>
        <v>309.84399999999999</v>
      </c>
      <c r="C37" s="39">
        <f>IF(ISERROR(B37*3.6/1000000/'E Balans VL '!Z15*100),0,B37*3.6/1000000/'E Balans VL '!Z15*100)</f>
        <v>2.4176305090673981E-3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335.88499999999999</v>
      </c>
      <c r="C5" s="17">
        <f>'Eigen informatie GS &amp; warmtenet'!B62</f>
        <v>0</v>
      </c>
      <c r="D5" s="30">
        <f>IF(ISERROR(SUM(LB_lb_gas_kWh,LB_rest_gas_kWh)/1000),0,SUM(LB_lb_gas_kWh,LB_rest_gas_kWh)/1000)*0.902</f>
        <v>238.85681600000001</v>
      </c>
      <c r="E5" s="17">
        <f>B17*'E Balans VL '!I25/3.6*1000000/100</f>
        <v>10.482860088791375</v>
      </c>
      <c r="F5" s="17">
        <f>B17*('E Balans VL '!L25/3.6*1000000+'E Balans VL '!N25/3.6*1000000)/100</f>
        <v>1187.054798336568</v>
      </c>
      <c r="G5" s="18"/>
      <c r="H5" s="17"/>
      <c r="I5" s="17"/>
      <c r="J5" s="17">
        <f>('E Balans VL '!D25+'E Balans VL '!E25)/3.6*1000000*landbouw!B17/100</f>
        <v>92.538646842060786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335.88499999999999</v>
      </c>
      <c r="C8" s="21">
        <f>C5+C6</f>
        <v>0</v>
      </c>
      <c r="D8" s="21">
        <f>MAX((D5+D6),0)</f>
        <v>238.85681600000001</v>
      </c>
      <c r="E8" s="21">
        <f>MAX((E5+E6),0)</f>
        <v>10.482860088791375</v>
      </c>
      <c r="F8" s="21">
        <f>MAX((F5+F6),0)</f>
        <v>1187.054798336568</v>
      </c>
      <c r="G8" s="21"/>
      <c r="H8" s="21"/>
      <c r="I8" s="21"/>
      <c r="J8" s="21">
        <f>MAX((J5+J6),0)</f>
        <v>92.538646842060786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0.17458658813390496</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58.641016155356667</v>
      </c>
      <c r="C12" s="23">
        <f ca="1">C8*C10</f>
        <v>0</v>
      </c>
      <c r="D12" s="23">
        <f>D8*D10</f>
        <v>48.249076832000007</v>
      </c>
      <c r="E12" s="23">
        <f>E8*E10</f>
        <v>2.3796092401556423</v>
      </c>
      <c r="F12" s="23">
        <f>F8*F10</f>
        <v>316.94363115586367</v>
      </c>
      <c r="G12" s="23"/>
      <c r="H12" s="23"/>
      <c r="I12" s="23"/>
      <c r="J12" s="23">
        <f>J8*J10</f>
        <v>32.758680982089516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4.9931713101756953E-2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3.8475797088376913</v>
      </c>
      <c r="C26" s="245">
        <f>B26*'GWP N2O_CH4'!B5</f>
        <v>80.799173885591514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0.35306284375723435</v>
      </c>
      <c r="C27" s="245">
        <f>B27*'GWP N2O_CH4'!B5</f>
        <v>7.414319718901921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3.4956979126702335E-2</v>
      </c>
      <c r="C28" s="245">
        <f>B28*'GWP N2O_CH4'!B4</f>
        <v>10.836663529277724</v>
      </c>
      <c r="D28" s="50"/>
    </row>
    <row r="29" spans="1:4">
      <c r="A29" s="41" t="s">
        <v>271</v>
      </c>
      <c r="B29" s="245">
        <f>B34*'ha_N2O bodem landbouw'!B4</f>
        <v>2.6720480529310304</v>
      </c>
      <c r="C29" s="245">
        <f>B29*'GWP N2O_CH4'!B4</f>
        <v>828.33489640861944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5.8593202886430716E-4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1.4500614234833282E-3</v>
      </c>
      <c r="C5" s="433" t="s">
        <v>210</v>
      </c>
      <c r="D5" s="418">
        <f>SUM(D6:D11)</f>
        <v>2.3163234605025119E-3</v>
      </c>
      <c r="E5" s="418">
        <f>SUM(E6:E11)</f>
        <v>2.1852065274613401E-3</v>
      </c>
      <c r="F5" s="431" t="s">
        <v>210</v>
      </c>
      <c r="G5" s="418">
        <f>SUM(G6:G11)</f>
        <v>1.0106031834396569</v>
      </c>
      <c r="H5" s="418">
        <f>SUM(H6:H11)</f>
        <v>0.20970742394810257</v>
      </c>
      <c r="I5" s="433" t="s">
        <v>210</v>
      </c>
      <c r="J5" s="433" t="s">
        <v>210</v>
      </c>
      <c r="K5" s="433" t="s">
        <v>210</v>
      </c>
      <c r="L5" s="433" t="s">
        <v>210</v>
      </c>
      <c r="M5" s="418">
        <f>SUM(M6:M11)</f>
        <v>7.2137737969429849E-2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5.6671351332007714E-4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9.5666751518775934E-4</v>
      </c>
      <c r="E6" s="884">
        <f>vkm_GW_PW*SUMIFS(TableVerdeelsleutelVkm[LPG],TableVerdeelsleutelVkm[Voertuigtype],"Lichte voertuigen")*SUMIFS(TableECFTransport[EnergieConsumptieFactor (PJ per km)],TableECFTransport[Index],CONCATENATE($A6,"_LPG_LPG"))</f>
        <v>8.38301368611818E-4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0.2618690663035928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8.5334904451174032E-2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2.0744688521706425E-2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2.4125162721390624E-6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9.2078999668823422E-2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1.2799276134732677E-6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5.3076526806209922E-3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2.0983815279237571E-4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4.5230356388748861E-4</v>
      </c>
      <c r="E8" s="421">
        <f>vkm_NGW_PW*SUMIFS(TableVerdeelsleutelVkm[LPG],TableVerdeelsleutelVkm[Voertuigtype],"Lichte voertuigen")*SUMIFS(TableECFTransport[EnergieConsumptieFactor (PJ per km)],TableECFTransport[Index],CONCATENATE($A8,"_LPG_LPG"))</f>
        <v>3.7966899107888687E-4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0.10957706114203856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3.9760684980443405E-2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8.9488062568783243E-3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3.4129801961232333E-8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1.6746432530481915E-3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2.1855732772820597E-8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9.6530328429550035E-5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6.636028317529546E-4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9.0735238142726396E-4</v>
      </c>
      <c r="E10" s="421">
        <f>vkm_SW_PW*SUMIFS(TableVerdeelsleutelVkm[LPG],TableVerdeelsleutelVkm[Voertuigtype],"Lichte voertuigen")*SUMIFS(TableECFTransport[EnergieConsumptieFactor (PJ per km)],TableECFTransport[Index],CONCATENATE($A10,"_LPG_LPG"))</f>
        <v>9.6723616777063528E-4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0.27534280112605791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8.4606458923813257E-2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2.147310260950468E-2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7.4602795438203171E-6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0.27006061194609599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4.0738093256220048E-6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1.5566957572289878E-2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402.79483985648005</v>
      </c>
      <c r="C14" s="21"/>
      <c r="D14" s="21">
        <f t="shared" ref="D14:M14" si="0">((D5)*10^9/3600)+D12</f>
        <v>643.42318347291996</v>
      </c>
      <c r="E14" s="21">
        <f t="shared" si="0"/>
        <v>607.00181318370562</v>
      </c>
      <c r="F14" s="21"/>
      <c r="G14" s="21">
        <f t="shared" si="0"/>
        <v>280723.10651101585</v>
      </c>
      <c r="H14" s="21">
        <f t="shared" si="0"/>
        <v>58252.062207806266</v>
      </c>
      <c r="I14" s="21"/>
      <c r="J14" s="21"/>
      <c r="K14" s="21"/>
      <c r="L14" s="21"/>
      <c r="M14" s="21">
        <f t="shared" si="0"/>
        <v>20038.260547063848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0.17458658813390496</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70.322576808485493</v>
      </c>
      <c r="C18" s="23"/>
      <c r="D18" s="23">
        <f t="shared" ref="D18:M18" si="1">D14*D16</f>
        <v>129.97148306152985</v>
      </c>
      <c r="E18" s="23">
        <f t="shared" si="1"/>
        <v>137.78941159270119</v>
      </c>
      <c r="F18" s="23"/>
      <c r="G18" s="23">
        <f t="shared" si="1"/>
        <v>74953.069438441235</v>
      </c>
      <c r="H18" s="23">
        <f t="shared" si="1"/>
        <v>14504.76348974376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6.7837143760567694E-4</v>
      </c>
      <c r="C50" s="315">
        <f t="shared" ref="C50:P50" si="2">SUM(C51:C52)</f>
        <v>0</v>
      </c>
      <c r="D50" s="315">
        <f t="shared" si="2"/>
        <v>0</v>
      </c>
      <c r="E50" s="315">
        <f t="shared" si="2"/>
        <v>0</v>
      </c>
      <c r="F50" s="315">
        <f t="shared" si="2"/>
        <v>0</v>
      </c>
      <c r="G50" s="315">
        <f t="shared" si="2"/>
        <v>4.9149032368249551E-2</v>
      </c>
      <c r="H50" s="315">
        <f t="shared" si="2"/>
        <v>0</v>
      </c>
      <c r="I50" s="315">
        <f t="shared" si="2"/>
        <v>0</v>
      </c>
      <c r="J50" s="315">
        <f t="shared" si="2"/>
        <v>0</v>
      </c>
      <c r="K50" s="315">
        <f t="shared" si="2"/>
        <v>0</v>
      </c>
      <c r="L50" s="315">
        <f t="shared" si="2"/>
        <v>0</v>
      </c>
      <c r="M50" s="315">
        <f t="shared" si="2"/>
        <v>2.780015636618061E-3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6.7837143760567694E-4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4.9149032368249551E-2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2.780015636618061E-3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188.43651044602137</v>
      </c>
      <c r="C54" s="21">
        <f t="shared" ref="C54:P54" si="3">(C50)*10^9/3600</f>
        <v>0</v>
      </c>
      <c r="D54" s="21">
        <f t="shared" si="3"/>
        <v>0</v>
      </c>
      <c r="E54" s="21">
        <f t="shared" si="3"/>
        <v>0</v>
      </c>
      <c r="F54" s="21">
        <f t="shared" si="3"/>
        <v>0</v>
      </c>
      <c r="G54" s="21">
        <f t="shared" si="3"/>
        <v>13652.50899118043</v>
      </c>
      <c r="H54" s="21">
        <f t="shared" si="3"/>
        <v>0</v>
      </c>
      <c r="I54" s="21">
        <f t="shared" si="3"/>
        <v>0</v>
      </c>
      <c r="J54" s="21">
        <f t="shared" si="3"/>
        <v>0</v>
      </c>
      <c r="K54" s="21">
        <f t="shared" si="3"/>
        <v>0</v>
      </c>
      <c r="L54" s="21">
        <f t="shared" si="3"/>
        <v>0</v>
      </c>
      <c r="M54" s="21">
        <f t="shared" si="3"/>
        <v>772.22656572723918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0.17458658813390496</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32.898487438629815</v>
      </c>
      <c r="C58" s="23">
        <f t="shared" ref="C58:P58" ca="1" si="4">C54*C56</f>
        <v>0</v>
      </c>
      <c r="D58" s="23">
        <f t="shared" si="4"/>
        <v>0</v>
      </c>
      <c r="E58" s="23">
        <f t="shared" si="4"/>
        <v>0</v>
      </c>
      <c r="F58" s="23">
        <f t="shared" si="4"/>
        <v>0</v>
      </c>
      <c r="G58" s="23">
        <f t="shared" si="4"/>
        <v>3645.2199006451751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71551.249422814159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36145.769144317608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67.5</v>
      </c>
      <c r="C8" s="543">
        <f>B48</f>
        <v>79.411764705882348</v>
      </c>
      <c r="D8" s="544"/>
      <c r="E8" s="544">
        <f>E48</f>
        <v>0</v>
      </c>
      <c r="F8" s="545"/>
      <c r="G8" s="546"/>
      <c r="H8" s="544">
        <f>I48</f>
        <v>0</v>
      </c>
      <c r="I8" s="544">
        <f>G48+F48</f>
        <v>0</v>
      </c>
      <c r="J8" s="544">
        <f>H48+D48+C48</f>
        <v>0</v>
      </c>
      <c r="K8" s="544"/>
      <c r="L8" s="544"/>
      <c r="M8" s="544"/>
      <c r="N8" s="547"/>
      <c r="O8" s="548">
        <f>C8*$C$12+D8*$D$12+E8*$E$12+F8*$F$12+G8*$G$12+H8*$H$12+I8*$I$12+J8*$J$12</f>
        <v>16.041176470588237</v>
      </c>
      <c r="P8" s="1244"/>
      <c r="Q8" s="1245"/>
      <c r="S8" s="538"/>
      <c r="T8" s="1232"/>
      <c r="U8" s="1232"/>
    </row>
    <row r="9" spans="1:21" s="529" customFormat="1" ht="17.45" customHeight="1" thickBot="1">
      <c r="A9" s="549" t="s">
        <v>242</v>
      </c>
      <c r="B9" s="550">
        <f>N36+'Eigen informatie GS &amp; warmtenet'!B12</f>
        <v>1620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109384.51856713177</v>
      </c>
      <c r="C10" s="558">
        <f t="shared" ref="C10:L10" si="0">SUM(C8:C9)</f>
        <v>79.411764705882348</v>
      </c>
      <c r="D10" s="558">
        <f t="shared" si="0"/>
        <v>0</v>
      </c>
      <c r="E10" s="558">
        <f t="shared" si="0"/>
        <v>0</v>
      </c>
      <c r="F10" s="558">
        <f t="shared" si="0"/>
        <v>0</v>
      </c>
      <c r="G10" s="558">
        <f t="shared" si="0"/>
        <v>0</v>
      </c>
      <c r="H10" s="558">
        <f t="shared" si="0"/>
        <v>0</v>
      </c>
      <c r="I10" s="558">
        <f t="shared" si="0"/>
        <v>0</v>
      </c>
      <c r="J10" s="558">
        <f t="shared" si="0"/>
        <v>4628.5714285714284</v>
      </c>
      <c r="K10" s="558">
        <f t="shared" si="0"/>
        <v>0</v>
      </c>
      <c r="L10" s="558">
        <f t="shared" si="0"/>
        <v>0</v>
      </c>
      <c r="M10" s="965"/>
      <c r="N10" s="965"/>
      <c r="O10" s="559">
        <f>SUM(O4:O9)</f>
        <v>16.041176470588237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96.428571428571431</v>
      </c>
      <c r="C17" s="574">
        <f>B49</f>
        <v>113.44537815126048</v>
      </c>
      <c r="D17" s="575"/>
      <c r="E17" s="575">
        <f>E49</f>
        <v>0</v>
      </c>
      <c r="F17" s="576"/>
      <c r="G17" s="577"/>
      <c r="H17" s="574">
        <f>I49</f>
        <v>0</v>
      </c>
      <c r="I17" s="575">
        <f>G49+F49</f>
        <v>0</v>
      </c>
      <c r="J17" s="575">
        <f>H49+D49+C49</f>
        <v>0</v>
      </c>
      <c r="K17" s="575"/>
      <c r="L17" s="575"/>
      <c r="M17" s="575"/>
      <c r="N17" s="966"/>
      <c r="O17" s="578">
        <f>C17*$C$22+E17*$E$22+H17*$H$22+I17*$I$22+J17*$J$22+D17*$D$22+F17*$F$22+G17*$G$22+K17*$K$22+L17*$L$22</f>
        <v>22.915966386554619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96.428571428571431</v>
      </c>
      <c r="C20" s="557">
        <f>SUM(C17:C19)</f>
        <v>113.44537815126048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22.915966386554619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71016</v>
      </c>
      <c r="C28" s="785">
        <v>3600</v>
      </c>
      <c r="D28" s="635" t="s">
        <v>906</v>
      </c>
      <c r="E28" s="634" t="s">
        <v>907</v>
      </c>
      <c r="F28" s="634" t="s">
        <v>908</v>
      </c>
      <c r="G28" s="634" t="s">
        <v>909</v>
      </c>
      <c r="H28" s="634" t="s">
        <v>910</v>
      </c>
      <c r="I28" s="634" t="s">
        <v>911</v>
      </c>
      <c r="J28" s="784">
        <v>41099</v>
      </c>
      <c r="K28" s="784">
        <v>41244</v>
      </c>
      <c r="L28" s="634" t="s">
        <v>912</v>
      </c>
      <c r="M28" s="634">
        <v>15</v>
      </c>
      <c r="N28" s="634">
        <v>67.5</v>
      </c>
      <c r="O28" s="634">
        <v>96.428571428571431</v>
      </c>
      <c r="P28" s="634">
        <v>192.85714285714286</v>
      </c>
      <c r="Q28" s="634">
        <v>0</v>
      </c>
      <c r="R28" s="634">
        <v>0</v>
      </c>
      <c r="S28" s="634">
        <v>0</v>
      </c>
      <c r="T28" s="634">
        <v>0</v>
      </c>
      <c r="U28" s="634">
        <v>0</v>
      </c>
      <c r="V28" s="634">
        <v>0</v>
      </c>
      <c r="W28" s="634">
        <v>0</v>
      </c>
      <c r="X28" s="634">
        <v>1300</v>
      </c>
      <c r="Y28" s="634" t="s">
        <v>53</v>
      </c>
      <c r="Z28" s="636" t="s">
        <v>155</v>
      </c>
    </row>
    <row r="29" spans="1:26" s="568" customFormat="1">
      <c r="A29" s="590" t="s">
        <v>274</v>
      </c>
      <c r="B29" s="591"/>
      <c r="C29" s="591"/>
      <c r="D29" s="591"/>
      <c r="E29" s="591"/>
      <c r="F29" s="591"/>
      <c r="G29" s="591"/>
      <c r="H29" s="591"/>
      <c r="I29" s="591"/>
      <c r="J29" s="591"/>
      <c r="K29" s="591"/>
      <c r="L29" s="592"/>
      <c r="M29" s="592">
        <f>SUM(M28:M28)</f>
        <v>15</v>
      </c>
      <c r="N29" s="592">
        <f>SUM(N28:N28)</f>
        <v>67.5</v>
      </c>
      <c r="O29" s="592">
        <f>SUM(O28:O28)</f>
        <v>96.428571428571431</v>
      </c>
      <c r="P29" s="592">
        <f>SUM(P28:P28)</f>
        <v>192.85714285714286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15</v>
      </c>
      <c r="N31" s="592">
        <f ca="1">SUMIF($Z$28:AD28,"tertiair",N28:N28)</f>
        <v>67.5</v>
      </c>
      <c r="O31" s="592">
        <f ca="1">SUMIF($Z$28:AE28,"tertiair",O28:O28)</f>
        <v>96.428571428571431</v>
      </c>
      <c r="P31" s="592">
        <f ca="1">SUMIF($Z$28:AF28,"tertiair",P28:P28)</f>
        <v>192.85714285714286</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71016</v>
      </c>
      <c r="C35" s="785">
        <v>3600</v>
      </c>
      <c r="D35" s="637" t="s">
        <v>913</v>
      </c>
      <c r="E35" s="637" t="s">
        <v>914</v>
      </c>
      <c r="F35" s="637" t="s">
        <v>915</v>
      </c>
      <c r="G35" s="637" t="s">
        <v>916</v>
      </c>
      <c r="H35" s="637" t="s">
        <v>917</v>
      </c>
      <c r="I35" s="637" t="s">
        <v>918</v>
      </c>
      <c r="J35" s="784">
        <v>33970</v>
      </c>
      <c r="K35" s="784">
        <v>37316</v>
      </c>
      <c r="L35" s="637" t="s">
        <v>912</v>
      </c>
      <c r="M35" s="637">
        <v>360</v>
      </c>
      <c r="N35" s="637">
        <v>1620</v>
      </c>
      <c r="O35" s="637">
        <v>0</v>
      </c>
      <c r="P35" s="637">
        <v>0</v>
      </c>
      <c r="Q35" s="637">
        <v>4628.5714285714284</v>
      </c>
      <c r="R35" s="637">
        <v>0</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360</v>
      </c>
      <c r="N36" s="592">
        <f>SUM(N35:N35)</f>
        <v>1620</v>
      </c>
      <c r="O36" s="592">
        <f>SUM(O35:O35)</f>
        <v>0</v>
      </c>
      <c r="P36" s="592">
        <f>SUM(P35:P35)</f>
        <v>0</v>
      </c>
      <c r="Q36" s="592">
        <f>SUM(Q35:Q35)</f>
        <v>4628.5714285714284</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360</v>
      </c>
      <c r="N38" s="592">
        <f>SUMIF($Z$35:$Z$36,"tertiair",N35:N36)</f>
        <v>1620</v>
      </c>
      <c r="O38" s="592">
        <f>SUMIF($Z$35:$Z$36,"tertiair",O35:O36)</f>
        <v>0</v>
      </c>
      <c r="P38" s="592">
        <f>SUMIF($Z$35:$Z$36,"tertiair",P35:P36)</f>
        <v>0</v>
      </c>
      <c r="Q38" s="592">
        <f>SUMIF($Z$35:$Z$36,"tertiair",Q35:Q36)</f>
        <v>4628.5714285714284</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0.58823529411764697</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79.411764705882348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113.44537815126048</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2021-06-29T15:32:43Z</dcterms:modified>
</cp:coreProperties>
</file>