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29" i="20"/>
  <c r="C17" i="19"/>
  <c r="C19" i="19" s="1"/>
  <c r="D39" i="14" s="1"/>
  <c r="C20" i="16"/>
  <c r="C22" i="16" s="1"/>
  <c r="D43" i="14" s="1"/>
  <c r="C17" i="49"/>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7" i="48"/>
  <c r="C29" i="48"/>
  <c r="C32" i="48"/>
  <c r="C25" i="48"/>
  <c r="C31" i="48"/>
  <c r="C26" i="48"/>
  <c r="F27" i="14"/>
  <c r="F63" i="14" s="1"/>
  <c r="C78" i="14"/>
  <c r="B78" i="14"/>
  <c r="C23" i="48" l="1"/>
  <c r="C30" i="48"/>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<sst xmlns="http://schemas.openxmlformats.org/spreadsheetml/2006/main" count="2511" uniqueCount="920">
  <si>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</si>
  <si>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</si>
  <si>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</si>
  <si>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</si>
  <si>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</si>
  <si>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</si>
  <si>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</si>
  <si>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</si>
  <si>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</si>
  <si>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</si>
  <si>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</si>
  <si>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</si>
  <si>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</si>
  <si>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</si>
  <si>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</si>
  <si>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</si>
  <si>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</si>
  <si>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</si>
  <si>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</si>
  <si>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</si>
  <si>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</si>
  <si>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</si>
  <si>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</si>
  <si>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</si>
  <si>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</si>
  <si>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</si>
  <si>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</si>
  <si>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</si>
  <si>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</si>
  <si>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</si>
  <si>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</si>
  <si>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</si>
  <si>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</si>
  <si>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</si>
  <si>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</si>
  <si>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</si>
  <si>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</si>
  <si>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</si>
  <si>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</si>
  <si>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</si>
  <si>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</si>
  <si>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</si>
  <si>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</si>
  <si>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</si>
  <si>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</si>
  <si>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</si>
  <si>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</si>
  <si>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</si>
  <si>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</si>
  <si>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</si>
  <si>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</si>
  <si>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</si>
  <si>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</si>
  <si>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</si>
  <si>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</si>
  <si>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</si>
  <si>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</si>
  <si>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</si>
  <si>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</si>
  <si>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</si>
  <si>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</si>
  <si>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</si>
  <si>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</si>
  <si>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</si>
  <si>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</si>
  <si>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</si>
  <si>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</si>
  <si>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</si>
  <si>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</si>
  <si>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</si>
  <si>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</si>
  <si>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</si>
  <si>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</si>
  <si>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</si>
  <si>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</si>
  <si>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</si>
  <si>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</si>
  <si>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</si>
  <si>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</si>
  <si>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</si>
  <si>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</si>
  <si>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</si>
  <si>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</si>
  <si>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</si>
  <si>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</si>
  <si>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</si>
  <si>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</si>
  <si>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</si>
  <si>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</si>
  <si>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</si>
  <si>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</si>
  <si>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</si>
  <si>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</si>
  <si>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</si>
  <si>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</si>
  <si>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</si>
  <si>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</si>
  <si>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</si>
  <si>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</si>
  <si>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</si>
  <si>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</si>
  <si>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</si>
  <si>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</si>
  <si>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</si>
  <si>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</si>
  <si>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</si>
  <si>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</si>
  <si>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</si>
  <si>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</si>
  <si>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</si>
  <si>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</si>
  <si>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</si>
  <si>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</si>
  <si>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</si>
  <si>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</si>
  <si>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</si>
  <si>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</si>
  <si>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</si>
  <si>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</si>
  <si>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</si>
  <si>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</si>
  <si>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</si>
  <si>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</si>
  <si>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</si>
  <si>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</si>
  <si>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</si>
  <si>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</si>
  <si>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</si>
  <si>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</si>
  <si>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</si>
  <si>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</si>
  <si>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</si>
  <si>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</si>
  <si>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</si>
  <si>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</si>
  <si>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</si>
  <si>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</si>
  <si>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</si>
  <si>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</si>
  <si>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</si>
  <si>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</si>
  <si>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</si>
  <si>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</si>
  <si>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</si>
  <si>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</si>
  <si>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</si>
  <si>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</si>
  <si>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</si>
  <si>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</si>
  <si>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</si>
  <si>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</si>
  <si>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</si>
  <si>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</si>
  <si>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</si>
  <si>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</si>
  <si>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</si>
  <si>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</si>
  <si>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</si>
  <si>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</si>
  <si>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</si>
  <si>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</si>
  <si>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</si>
  <si>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</si>
  <si>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</si>
  <si>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</si>
  <si>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</si>
  <si>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</si>
  <si>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</si>
  <si>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</si>
  <si>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</si>
  <si>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</si>
  <si>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</si>
  <si>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</si>
  <si>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</si>
  <si>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</si>
  <si>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</si>
  <si>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</si>
  <si>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</si>
  <si>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</si>
  <si>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</si>
  <si>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</si>
  <si>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</si>
  <si>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</si>
  <si>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</si>
  <si>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</si>
  <si>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</si>
  <si>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</si>
  <si>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</si>
  <si>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</si>
  <si>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</si>
  <si>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</si>
  <si>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</si>
  <si>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</si>
  <si>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</si>
  <si>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</si>
  <si>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</si>
  <si>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</si>
  <si>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</si>
  <si>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</si>
  <si>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</si>
  <si>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</si>
  <si>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</si>
  <si>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</si>
  <si>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</si>
  <si>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</si>
  <si>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</si>
  <si>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</si>
  <si>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</si>
  <si>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</si>
  <si>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</si>
  <si>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</si>
  <si>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</si>
  <si>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</si>
  <si>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</si>
  <si>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</si>
  <si>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</si>
  <si>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</si>
  <si>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</si>
  <si>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</si>
  <si>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</si>
  <si>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</si>
  <si>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</si>
  <si>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</si>
  <si>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</si>
  <si>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</si>
  <si>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</si>
  <si>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</si>
  <si>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</si>
  <si>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</si>
  <si>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</si>
  <si>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</si>
  <si>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</si>
  <si>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</si>
  <si>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</si>
  <si>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</si>
  <si>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</si>
  <si>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</si>
  <si>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</si>
  <si>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</si>
  <si>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</si>
  <si>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</si>
  <si>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</si>
  <si>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</si>
  <si>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</si>
  <si>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</si>
  <si>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</si>
  <si>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</si>
  <si>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</si>
  <si>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</si>
  <si>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</si>
  <si>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</si>
  <si>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</si>
  <si>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</si>
  <si>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</si>
  <si>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</si>
  <si>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</si>
  <si>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</si>
  <si>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</si>
  <si>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</si>
  <si>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</si>
  <si>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</si>
  <si>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</si>
  <si>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</si>
  <si>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</si>
  <si>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</si>
  <si>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</si>
  <si>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</si>
  <si>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</si>
  <si>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</si>
  <si>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</si>
  <si>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</si>
  <si>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</si>
  <si>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</si>
  <si>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</si>
  <si>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</si>
  <si>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</si>
  <si>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</si>
  <si>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</si>
  <si>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</si>
  <si>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</si>
  <si>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</si>
  <si>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</si>
  <si>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</si>
  <si>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</si>
  <si>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</si>
  <si>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</si>
  <si>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</si>
  <si>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</si>
  <si>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</si>
  <si>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</si>
  <si>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</si>
  <si>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</si>
  <si>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</si>
  <si>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</si>
  <si>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</si>
  <si>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</si>
  <si>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</si>
  <si>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</si>
  <si>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</si>
  <si>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</si>
  <si>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</si>
  <si>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</si>
  <si>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</si>
  <si>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</si>
  <si>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</si>
  <si>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</si>
  <si>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</si>
  <si>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</si>
  <si>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</si>
  <si>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</si>
  <si>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</si>
  <si>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</si>
  <si>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</si>
  <si>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</si>
  <si>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</si>
  <si>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</si>
  <si>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</si>
  <si>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</si>
  <si>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</si>
  <si>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</si>
  <si>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</si>
  <si>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</si>
  <si>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</si>
  <si>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</si>
  <si>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</si>
  <si>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</si>
  <si>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</si>
  <si>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</si>
  <si>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</si>
  <si>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</si>
  <si>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</si>
  <si>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</si>
  <si>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</si>
  <si>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</si>
  <si>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</si>
  <si>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</si>
  <si>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</si>
  <si>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</si>
  <si>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</si>
  <si>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</si>
  <si>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</si>
  <si>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</si>
  <si>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</si>
  <si>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</si>
  <si>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</si>
  <si>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</si>
  <si>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</si>
  <si>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</si>
  <si>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</si>
  <si>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</si>
  <si>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</si>
  <si>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</si>
  <si>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</si>
  <si>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</si>
  <si>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</si>
  <si>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</si>
  <si>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</si>
  <si>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</si>
  <si>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</si>
  <si>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</si>
  <si>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</si>
  <si>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</si>
  <si>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</si>
  <si>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</si>
  <si>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</si>
  <si>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</si>
  <si>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</si>
  <si>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</si>
  <si>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</si>
  <si>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</si>
  <si>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</si>
  <si>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</si>
  <si>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</si>
  <si>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</si>
  <si>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</si>
  <si>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</si>
  <si>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</si>
  <si>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</si>
  <si>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</si>
  <si>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</si>
  <si>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</si>
  <si>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</si>
  <si>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</si>
  <si>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</si>
  <si>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</si>
  <si>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</si>
  <si>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</si>
  <si>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</si>
  <si>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</si>
  <si>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</si>
  <si>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</si>
  <si>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</si>
  <si>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</si>
  <si>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</si>
  <si>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</si>
  <si>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</si>
  <si>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</si>
  <si>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</si>
  <si>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</si>
  <si>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</si>
  <si>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</si>
  <si>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</si>
  <si>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</si>
  <si>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</si>
  <si>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</si>
  <si>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</si>
  <si>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</si>
  <si>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</si>
  <si>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</si>
  <si>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</si>
  <si>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</si>
  <si>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</si>
  <si>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</si>
  <si>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</si>
  <si>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</si>
  <si>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</si>
  <si>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</si>
  <si>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</si>
  <si>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</si>
  <si>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</si>
  <si>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</si>
  <si>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</si>
  <si>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</si>
  <si>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</si>
  <si>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</si>
  <si>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</si>
  <si>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</si>
  <si>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</si>
  <si>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</si>
  <si>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</si>
  <si>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</si>
  <si>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</si>
  <si>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</si>
  <si>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</si>
  <si>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</si>
  <si>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</si>
  <si>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</si>
  <si>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</si>
  <si>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</si>
  <si>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</si>
  <si>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</si>
  <si>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</si>
  <si>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</si>
  <si>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</si>
  <si>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</si>
  <si>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</si>
  <si>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</si>
  <si>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</si>
  <si>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</si>
  <si>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</si>
  <si>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</si>
  <si>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</si>
  <si>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</si>
  <si>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</si>
  <si>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</si>
  <si>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</si>
  <si>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</si>
  <si>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</si>
  <si>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</si>
  <si>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</si>
  <si>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</si>
  <si>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</si>
  <si>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</si>
  <si>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</si>
  <si>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</si>
  <si>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</si>
  <si>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</si>
  <si>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</si>
  <si>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</si>
  <si>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</si>
  <si>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</si>
  <si>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</si>
  <si>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</si>
  <si>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</si>
  <si>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</si>
  <si>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</si>
  <si>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</si>
  <si>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</si>
  <si>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</si>
  <si>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</si>
  <si>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</si>
  <si>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</si>
  <si>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</si>
  <si>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</si>
  <si>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</si>
  <si>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</si>
  <si>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</si>
  <si>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</si>
  <si>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</si>
  <si>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</si>
  <si>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</si>
  <si>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</si>
  <si>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</si>
  <si>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</si>
  <si>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</si>
  <si>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</si>
  <si>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</si>
  <si>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</si>
  <si>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</si>
  <si>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</si>
  <si>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</si>
  <si>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</si>
  <si>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</si>
  <si>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</si>
  <si>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</si>
  <si>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</si>
  <si>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</si>
  <si>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</si>
  <si>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</si>
  <si>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</si>
  <si>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</si>
  <si>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</si>
  <si>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</si>
  <si>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</si>
  <si>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</si>
  <si>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</si>
  <si>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</si>
  <si>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</si>
  <si>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</si>
  <si>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</si>
  <si>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</si>
  <si>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</si>
  <si>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</si>
  <si>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</si>
  <si>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</si>
  <si>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</si>
  <si>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</si>
  <si>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</si>
  <si>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</si>
  <si>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</si>
  <si>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</si>
  <si>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</si>
  <si>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</si>
  <si>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</si>
  <si>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</si>
  <si>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</si>
  <si>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</si>
  <si>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</si>
  <si>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</si>
  <si>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</si>
  <si>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</si>
  <si>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</si>
  <si>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</si>
  <si>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</si>
  <si>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</si>
  <si>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</si>
  <si>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</si>
  <si>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</si>
  <si>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</si>
  <si>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</si>
  <si>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</si>
  <si>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</si>
  <si>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</si>
  <si>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</si>
  <si>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</si>
  <si>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</si>
  <si>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</si>
  <si>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</si>
  <si>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</si>
  <si>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</si>
  <si>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</si>
  <si>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</si>
  <si>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</si>
  <si>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</si>
  <si>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</si>
  <si>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</si>
  <si>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</si>
  <si>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</si>
  <si>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</si>
  <si>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</si>
  <si>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</si>
  <si>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</si>
  <si>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</si>
  <si>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</si>
  <si>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</si>
  <si>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</si>
  <si>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</si>
  <si>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</si>
  <si>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</si>
  <si>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</si>
  <si>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</si>
  <si>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</si>
  <si>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</si>
  <si>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</si>
  <si>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</si>
  <si>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</si>
  <si>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</si>
  <si>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</si>
  <si>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</si>
  <si>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</si>
  <si>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</si>
  <si>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</si>
  <si>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</si>
  <si>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</si>
  <si>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</si>
  <si>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</si>
  <si>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</si>
  <si>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</si>
  <si>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</si>
  <si>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</si>
  <si>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</si>
  <si>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</si>
  <si>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</si>
  <si>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</si>
  <si>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</si>
  <si>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</si>
  <si>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</si>
  <si>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</si>
  <si>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</si>
  <si>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</si>
  <si>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</si>
  <si>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</si>
  <si>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</si>
  <si>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</si>
  <si>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</si>
  <si>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</si>
  <si>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</si>
  <si>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</si>
  <si>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</si>
  <si>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</si>
  <si>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</si>
  <si>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</si>
  <si>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</si>
  <si>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</si>
  <si>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</si>
  <si>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</si>
  <si>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</si>
  <si>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</si>
  <si>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</si>
  <si>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</si>
  <si>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</si>
  <si>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</si>
  <si>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</si>
  <si>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</si>
  <si>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</si>
  <si>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</si>
  <si>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</si>
  <si>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</si>
  <si>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</si>
  <si>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</si>
  <si>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</si>
  <si>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</si>
  <si>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</si>
  <si>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</si>
  <si>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</si>
  <si>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</si>
  <si>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</si>
  <si>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</si>
  <si>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</si>
  <si>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</si>
  <si>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</si>
  <si>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</si>
  <si>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</si>
  <si>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</si>
  <si>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</si>
  <si>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</si>
  <si>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</si>
  <si>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</si>
  <si>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</si>
  <si>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</si>
  <si>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</si>
  <si>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</si>
  <si>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</si>
  <si>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</si>
  <si>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</si>
  <si>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</si>
  <si>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</si>
  <si>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</si>
  <si>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</si>
  <si>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</si>
  <si>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</si>
  <si>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</si>
  <si>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</si>
  <si>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</si>
  <si>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</si>
  <si>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</si>
  <si>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</si>
  <si>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</si>
  <si>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</si>
  <si>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</si>
  <si>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</si>
  <si>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</si>
  <si>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</si>
  <si>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</si>
  <si>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</si>
  <si>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</si>
  <si>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</si>
  <si>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</si>
  <si>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</si>
  <si>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</si>
  <si>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</si>
  <si>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</si>
  <si>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</si>
  <si>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</si>
  <si>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</si>
  <si>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</si>
  <si>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</si>
  <si>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</si>
  <si>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</si>
  <si>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</si>
  <si>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</si>
  <si>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</si>
  <si>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</si>
  <si>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</si>
  <si>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</si>
  <si>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</si>
  <si>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</si>
  <si>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</si>
  <si>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</si>
  <si>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</si>
  <si>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</si>
  <si>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</si>
  <si>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</si>
  <si>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</si>
  <si>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</si>
  <si>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</si>
  <si>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</si>
  <si>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</si>
  <si>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</si>
  <si>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</si>
  <si>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</si>
  <si>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</si>
  <si>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</si>
  <si>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</si>
  <si>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</si>
  <si>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</si>
  <si>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</si>
  <si>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</si>
  <si>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</si>
  <si>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</si>
  <si>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</si>
  <si>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</si>
  <si>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</si>
  <si>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</si>
  <si>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</si>
  <si>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</si>
  <si>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</si>
  <si>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</si>
  <si>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</si>
  <si>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</si>
  <si>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</si>
  <si>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</si>
  <si>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</si>
  <si>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</si>
  <si>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</si>
  <si>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</si>
  <si>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</si>
  <si>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</si>
  <si>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</si>
  <si>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</si>
  <si>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</si>
  <si>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</si>
  <si>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</si>
  <si>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</si>
  <si>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</si>
  <si>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</si>
  <si>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</si>
  <si>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</si>
  <si>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</si>
  <si>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</si>
  <si>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</si>
  <si>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</si>
  <si>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</si>
  <si>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</si>
  <si>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</si>
  <si>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</si>
  <si>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</si>
  <si>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</si>
  <si>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</si>
  <si>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</si>
  <si>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</si>
  <si>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</si>
  <si>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</si>
  <si>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</si>
  <si>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</si>
  <si>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</si>
  <si>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</si>
  <si>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</si>
  <si>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</si>
  <si>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</si>
  <si>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</si>
  <si>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</si>
  <si>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</si>
  <si>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</si>
  <si>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</si>
  <si>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</si>
  <si>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</si>
  <si>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</si>
  <si>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</si>
  <si>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</si>
  <si>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</si>
  <si>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</si>
  <si>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</si>
  <si>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</si>
  <si>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</si>
  <si>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</si>
  <si>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</si>
  <si>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</si>
  <si>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</si>
  <si>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</si>
  <si>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</si>
  <si>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</si>
  <si>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</si>
  <si>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</si>
  <si>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</si>
  <si>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</si>
  <si>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</si>
  <si>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</si>
  <si>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</si>
  <si>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</si>
  <si>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</si>
  <si>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</si>
  <si>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</si>
  <si>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</si>
  <si>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</si>
  <si>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</si>
  <si>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</si>
  <si>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</si>
  <si>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</si>
  <si>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</si>
  <si>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</si>
  <si>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</si>
  <si>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</si>
  <si>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</si>
  <si>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</si>
  <si>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</si>
  <si>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</si>
  <si>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</si>
  <si>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</si>
  <si>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</si>
  <si>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</si>
  <si>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</si>
  <si>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</si>
  <si>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</si>
  <si>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</si>
  <si>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</si>
  <si>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</si>
  <si>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</si>
  <si>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</si>
  <si>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</si>
  <si>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</si>
  <si>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</si>
  <si>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</si>
  <si>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</si>
  <si>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</si>
  <si>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</si>
  <si>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</si>
  <si>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</si>
  <si>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</si>
  <si>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</si>
  <si>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</si>
  <si>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</si>
  <si>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</si>
  <si>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</si>
  <si>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</si>
  <si>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</si>
  <si>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</si>
  <si>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</si>
  <si>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</si>
  <si>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</si>
  <si>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</si>
  <si>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</si>
  <si>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</si>
  <si>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</si>
  <si>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</si>
  <si>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</si>
  <si>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</si>
  <si>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</si>
  <si>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</si>
  <si>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</si>
  <si>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</si>
  <si>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</si>
  <si>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</si>
  <si>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</si>
  <si>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</si>
  <si>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</si>
  <si>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</si>
  <si>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</si>
  <si>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</si>
  <si>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</si>
  <si>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</si>
  <si>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</si>
  <si>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</si>
  <si>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</si>
  <si>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</si>
  <si>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</si>
  <si>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</si>
  <si>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</si>
  <si>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</si>
  <si>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</si>
  <si>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</si>
  <si>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</si>
  <si>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</si>
  <si>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</si>
  <si>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</si>
  <si>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</si>
  <si>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</si>
  <si>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</si>
  <si>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</si>
  <si>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</si>
  <si>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</si>
  <si>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</si>
  <si>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</si>
  <si>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46024</t>
  </si>
  <si>
    <t>STEKENE</t>
  </si>
  <si>
    <t>referentietaak LNE (2017); Jaarverslag De Lijn</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</si>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</sst>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151648.80048076637</c:v>
                </c:pt>
                <c:pt idx="1">
                  <c:v>31788.092484630495</c:v>
                </c:pt>
                <c:pt idx="2">
                  <c:v>1049.279</c:v>
                </c:pt>
                <c:pt idx="3">
                  <c:v>31700.801494933927</c:v>
                </c:pt>
                <c:pt idx="4">
                  <c:v>7304.1665278897681</c:v>
                </c:pt>
                <c:pt idx="5">
                  <c:v>172597.02788145395</c:v>
                </c:pt>
                <c:pt idx="6">
                  <c:v>1410.3297460227668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151648.80048076637</c:v>
                </c:pt>
                <c:pt idx="1">
                  <c:v>31788.092484630495</c:v>
                </c:pt>
                <c:pt idx="2">
                  <c:v>1049.279</c:v>
                </c:pt>
                <c:pt idx="3">
                  <c:v>31700.801494933927</c:v>
                </c:pt>
                <c:pt idx="4">
                  <c:v>7304.1665278897681</c:v>
                </c:pt>
                <c:pt idx="5">
                  <c:v>172597.02788145395</c:v>
                </c:pt>
                <c:pt idx="6">
                  <c:v>1410.3297460227668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29805.609159890839</c:v>
                </c:pt>
                <c:pt idx="1">
                  <c:v>6003.0649322688323</c:v>
                </c:pt>
                <c:pt idx="2">
                  <c:v>189.28593760848878</c:v>
                </c:pt>
                <c:pt idx="3">
                  <c:v>6164.7857879658168</c:v>
                </c:pt>
                <c:pt idx="4">
                  <c:v>1482.2699082261365</c:v>
                </c:pt>
                <c:pt idx="5">
                  <c:v>43083.646157643321</c:v>
                </c:pt>
                <c:pt idx="6">
                  <c:v>355.08400880286274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29805.609159890839</c:v>
                </c:pt>
                <c:pt idx="1">
                  <c:v>6003.0649322688323</c:v>
                </c:pt>
                <c:pt idx="2">
                  <c:v>189.28593760848878</c:v>
                </c:pt>
                <c:pt idx="3">
                  <c:v>6164.7857879658168</c:v>
                </c:pt>
                <c:pt idx="4">
                  <c:v>1482.2699082261365</c:v>
                </c:pt>
                <c:pt idx="5">
                  <c:v>43083.646157643321</c:v>
                </c:pt>
                <c:pt idx="6">
                  <c:v>355.08400880286274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46024</v>
      </c>
      <c r="B6" s="386"/>
      <c r="C6" s="387"/>
    </row>
    <row r="7" spans="1:7" s="384" customFormat="1" ht="15.75" customHeight="1">
      <c r="A7" s="388" t="str">
        <f>txtMunicipality</f>
        <v>STEKENE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13800.788124000002</v>
      </c>
      <c r="D10" s="681">
        <f ca="1">tertiair!C16</f>
        <v>0</v>
      </c>
      <c r="E10" s="681">
        <f ca="1">tertiair!D16</f>
        <v>16220.925339432</v>
      </c>
      <c r="F10" s="681">
        <f>tertiair!E16</f>
        <v>200.19308909826231</v>
      </c>
      <c r="G10" s="681">
        <f ca="1">tertiair!F16</f>
        <v>1425.6960872947707</v>
      </c>
      <c r="H10" s="681">
        <f>tertiair!G16</f>
        <v>0</v>
      </c>
      <c r="I10" s="681">
        <f>tertiair!H16</f>
        <v>0</v>
      </c>
      <c r="J10" s="681">
        <f>tertiair!I16</f>
        <v>0</v>
      </c>
      <c r="K10" s="681">
        <f>tertiair!J16</f>
        <v>2.7171578601647015E-2</v>
      </c>
      <c r="L10" s="681">
        <f>tertiair!K16</f>
        <v>0</v>
      </c>
      <c r="M10" s="681">
        <f ca="1">tertiair!L16</f>
        <v>0</v>
      </c>
      <c r="N10" s="681">
        <f>tertiair!M16</f>
        <v>0</v>
      </c>
      <c r="O10" s="681">
        <f ca="1">tertiair!N16</f>
        <v>1069.9716143163485</v>
      </c>
      <c r="P10" s="681">
        <f>tertiair!O16</f>
        <v>14.691782297523464</v>
      </c>
      <c r="Q10" s="682">
        <f>tertiair!P16</f>
        <v>105.07827661299004</v>
      </c>
      <c r="R10" s="684">
        <f ca="1">SUM(C10:Q10)</f>
        <v>32837.371484630501</v>
      </c>
      <c r="S10" s="67"/>
    </row>
    <row r="11" spans="1:19" s="444" customFormat="1">
      <c r="A11" s="802" t="s">
        <v>219</v>
      </c>
      <c r="B11" s="807"/>
      <c r="C11" s="681">
        <f>huishoudens!B8</f>
        <v>32215.637762027956</v>
      </c>
      <c r="D11" s="681">
        <f>huishoudens!C8</f>
        <v>0</v>
      </c>
      <c r="E11" s="681">
        <f>huishoudens!D8</f>
        <v>74012.941987819999</v>
      </c>
      <c r="F11" s="681">
        <f>huishoudens!E8</f>
        <v>1985.7333052515876</v>
      </c>
      <c r="G11" s="681">
        <f>huishoudens!F8</f>
        <v>32012.667478583859</v>
      </c>
      <c r="H11" s="681">
        <f>huishoudens!G8</f>
        <v>0</v>
      </c>
      <c r="I11" s="681">
        <f>huishoudens!H8</f>
        <v>0</v>
      </c>
      <c r="J11" s="681">
        <f>huishoudens!I8</f>
        <v>0</v>
      </c>
      <c r="K11" s="681">
        <f>huishoudens!J8</f>
        <v>127.88919519743024</v>
      </c>
      <c r="L11" s="681">
        <f>huishoudens!K8</f>
        <v>0</v>
      </c>
      <c r="M11" s="681">
        <f>huishoudens!L8</f>
        <v>0</v>
      </c>
      <c r="N11" s="681">
        <f>huishoudens!M8</f>
        <v>0</v>
      </c>
      <c r="O11" s="681">
        <f>huishoudens!N8</f>
        <v>10115.310899983568</v>
      </c>
      <c r="P11" s="681">
        <f>huishoudens!O8</f>
        <v>325.36914797947321</v>
      </c>
      <c r="Q11" s="682">
        <f>huishoudens!P8</f>
        <v>853.25070392248676</v>
      </c>
      <c r="R11" s="684">
        <f>SUM(C11:Q11)</f>
        <v>151648.80048076637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2725.4076769999997</v>
      </c>
      <c r="D13" s="681">
        <f>industrie!C18</f>
        <v>0</v>
      </c>
      <c r="E13" s="681">
        <f>industrie!D18</f>
        <v>2604.4175014440002</v>
      </c>
      <c r="F13" s="681">
        <f>industrie!E18</f>
        <v>430.4118484301456</v>
      </c>
      <c r="G13" s="681">
        <f>industrie!F18</f>
        <v>1369.4871617289725</v>
      </c>
      <c r="H13" s="681">
        <f>industrie!G18</f>
        <v>0</v>
      </c>
      <c r="I13" s="681">
        <f>industrie!H18</f>
        <v>0</v>
      </c>
      <c r="J13" s="681">
        <f>industrie!I18</f>
        <v>0</v>
      </c>
      <c r="K13" s="681">
        <f>industrie!J18</f>
        <v>3.2989837895957828</v>
      </c>
      <c r="L13" s="681">
        <f>industrie!K18</f>
        <v>0</v>
      </c>
      <c r="M13" s="681">
        <f>industrie!L18</f>
        <v>0</v>
      </c>
      <c r="N13" s="681">
        <f>industrie!M18</f>
        <v>0</v>
      </c>
      <c r="O13" s="681">
        <f>industrie!N18</f>
        <v>171.14335549705405</v>
      </c>
      <c r="P13" s="681">
        <f>industrie!O18</f>
        <v>0</v>
      </c>
      <c r="Q13" s="682">
        <f>industrie!P18</f>
        <v>0</v>
      </c>
      <c r="R13" s="684">
        <f>SUM(C13:Q13)</f>
        <v>7304.1665278897681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48741.833563027962</v>
      </c>
      <c r="D16" s="717">
        <f t="shared" ref="D16:R16" ca="1" si="0">SUM(D9:D15)</f>
        <v>0</v>
      </c>
      <c r="E16" s="717">
        <f t="shared" ca="1" si="0"/>
        <v>92838.284828695992</v>
      </c>
      <c r="F16" s="717">
        <f t="shared" si="0"/>
        <v>2616.3382427799957</v>
      </c>
      <c r="G16" s="717">
        <f t="shared" ca="1" si="0"/>
        <v>34807.850727607605</v>
      </c>
      <c r="H16" s="717">
        <f t="shared" si="0"/>
        <v>0</v>
      </c>
      <c r="I16" s="717">
        <f t="shared" si="0"/>
        <v>0</v>
      </c>
      <c r="J16" s="717">
        <f t="shared" si="0"/>
        <v>0</v>
      </c>
      <c r="K16" s="717">
        <f t="shared" si="0"/>
        <v>131.21535056562769</v>
      </c>
      <c r="L16" s="717">
        <f t="shared" si="0"/>
        <v>0</v>
      </c>
      <c r="M16" s="717">
        <f t="shared" ca="1" si="0"/>
        <v>0</v>
      </c>
      <c r="N16" s="717">
        <f t="shared" si="0"/>
        <v>0</v>
      </c>
      <c r="O16" s="717">
        <f t="shared" ca="1" si="0"/>
        <v>11356.425869796969</v>
      </c>
      <c r="P16" s="717">
        <f t="shared" si="0"/>
        <v>340.06093027699666</v>
      </c>
      <c r="Q16" s="717">
        <f t="shared" si="0"/>
        <v>958.32898053547683</v>
      </c>
      <c r="R16" s="717">
        <f t="shared" ca="1" si="0"/>
        <v>191790.33849328663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18.186168936754328</v>
      </c>
      <c r="D19" s="681">
        <f>transport!C54</f>
        <v>0</v>
      </c>
      <c r="E19" s="681">
        <f>transport!D54</f>
        <v>0</v>
      </c>
      <c r="F19" s="681">
        <f>transport!E54</f>
        <v>0</v>
      </c>
      <c r="G19" s="681">
        <f>transport!F54</f>
        <v>0</v>
      </c>
      <c r="H19" s="681">
        <f>transport!G54</f>
        <v>1317.6153301527404</v>
      </c>
      <c r="I19" s="681">
        <f>transport!H54</f>
        <v>0</v>
      </c>
      <c r="J19" s="681">
        <f>transport!I54</f>
        <v>0</v>
      </c>
      <c r="K19" s="681">
        <f>transport!J54</f>
        <v>0</v>
      </c>
      <c r="L19" s="681">
        <f>transport!K54</f>
        <v>0</v>
      </c>
      <c r="M19" s="681">
        <f>transport!L54</f>
        <v>0</v>
      </c>
      <c r="N19" s="681">
        <f>transport!M54</f>
        <v>74.528246933272101</v>
      </c>
      <c r="O19" s="681">
        <f>transport!N54</f>
        <v>0</v>
      </c>
      <c r="P19" s="681">
        <f>transport!O54</f>
        <v>0</v>
      </c>
      <c r="Q19" s="682">
        <f>transport!P54</f>
        <v>0</v>
      </c>
      <c r="R19" s="684">
        <f>SUM(C19:Q19)</f>
        <v>1410.3297460227668</v>
      </c>
      <c r="S19" s="67"/>
    </row>
    <row r="20" spans="1:19" s="444" customFormat="1">
      <c r="A20" s="802" t="s">
        <v>301</v>
      </c>
      <c r="B20" s="807"/>
      <c r="C20" s="681">
        <f>transport!B14</f>
        <v>153.24985404842766</v>
      </c>
      <c r="D20" s="681">
        <f>transport!C14</f>
        <v>0</v>
      </c>
      <c r="E20" s="681">
        <f>transport!D14</f>
        <v>251.35815804019944</v>
      </c>
      <c r="F20" s="681">
        <f>transport!E14</f>
        <v>237.35604219253497</v>
      </c>
      <c r="G20" s="681">
        <f>transport!F14</f>
        <v>0</v>
      </c>
      <c r="H20" s="681">
        <f>transport!G14</f>
        <v>139662.62815553223</v>
      </c>
      <c r="I20" s="681">
        <f>transport!H14</f>
        <v>22736.644900709318</v>
      </c>
      <c r="J20" s="681">
        <f>transport!I14</f>
        <v>0</v>
      </c>
      <c r="K20" s="681">
        <f>transport!J14</f>
        <v>0</v>
      </c>
      <c r="L20" s="681">
        <f>transport!K14</f>
        <v>0</v>
      </c>
      <c r="M20" s="681">
        <f>transport!L14</f>
        <v>0</v>
      </c>
      <c r="N20" s="681">
        <f>transport!M14</f>
        <v>9555.7907709312658</v>
      </c>
      <c r="O20" s="681">
        <f>transport!N14</f>
        <v>0</v>
      </c>
      <c r="P20" s="681">
        <f>transport!O14</f>
        <v>0</v>
      </c>
      <c r="Q20" s="682">
        <f>transport!P14</f>
        <v>0</v>
      </c>
      <c r="R20" s="684">
        <f>SUM(C20:Q20)</f>
        <v>172597.02788145395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171.43602298518198</v>
      </c>
      <c r="D22" s="805">
        <f t="shared" ref="D22:R22" si="1">SUM(D18:D21)</f>
        <v>0</v>
      </c>
      <c r="E22" s="805">
        <f t="shared" si="1"/>
        <v>251.35815804019944</v>
      </c>
      <c r="F22" s="805">
        <f t="shared" si="1"/>
        <v>237.35604219253497</v>
      </c>
      <c r="G22" s="805">
        <f t="shared" si="1"/>
        <v>0</v>
      </c>
      <c r="H22" s="805">
        <f t="shared" si="1"/>
        <v>140980.24348568497</v>
      </c>
      <c r="I22" s="805">
        <f t="shared" si="1"/>
        <v>22736.644900709318</v>
      </c>
      <c r="J22" s="805">
        <f t="shared" si="1"/>
        <v>0</v>
      </c>
      <c r="K22" s="805">
        <f t="shared" si="1"/>
        <v>0</v>
      </c>
      <c r="L22" s="805">
        <f t="shared" si="1"/>
        <v>0</v>
      </c>
      <c r="M22" s="805">
        <f t="shared" si="1"/>
        <v>0</v>
      </c>
      <c r="N22" s="805">
        <f t="shared" si="1"/>
        <v>9630.3190178645382</v>
      </c>
      <c r="O22" s="805">
        <f t="shared" si="1"/>
        <v>0</v>
      </c>
      <c r="P22" s="805">
        <f t="shared" si="1"/>
        <v>0</v>
      </c>
      <c r="Q22" s="805">
        <f t="shared" si="1"/>
        <v>0</v>
      </c>
      <c r="R22" s="805">
        <f t="shared" si="1"/>
        <v>174007.35762747671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1401.5305919999998</v>
      </c>
      <c r="D24" s="681">
        <f>+landbouw!C8</f>
        <v>18585.000000000004</v>
      </c>
      <c r="E24" s="681">
        <f>+landbouw!D8</f>
        <v>6331.2338282011442</v>
      </c>
      <c r="F24" s="681">
        <f>+landbouw!E8</f>
        <v>43.741307608547423</v>
      </c>
      <c r="G24" s="681">
        <f>+landbouw!F8</f>
        <v>4953.1643694987597</v>
      </c>
      <c r="H24" s="681">
        <f>+landbouw!G8</f>
        <v>0</v>
      </c>
      <c r="I24" s="681">
        <f>+landbouw!H8</f>
        <v>0</v>
      </c>
      <c r="J24" s="681">
        <f>+landbouw!I8</f>
        <v>0</v>
      </c>
      <c r="K24" s="681">
        <f>+landbouw!J8</f>
        <v>386.13139762547422</v>
      </c>
      <c r="L24" s="681">
        <f>+landbouw!K8</f>
        <v>0</v>
      </c>
      <c r="M24" s="681">
        <f>+landbouw!L8</f>
        <v>0</v>
      </c>
      <c r="N24" s="681">
        <f>+landbouw!M8</f>
        <v>0</v>
      </c>
      <c r="O24" s="681">
        <f>+landbouw!N8</f>
        <v>0</v>
      </c>
      <c r="P24" s="681">
        <f>+landbouw!O8</f>
        <v>0</v>
      </c>
      <c r="Q24" s="682">
        <f>+landbouw!P8</f>
        <v>0</v>
      </c>
      <c r="R24" s="684">
        <f>SUM(C24:Q24)</f>
        <v>31700.801494933927</v>
      </c>
      <c r="S24" s="67"/>
    </row>
    <row r="25" spans="1:19" s="444" customFormat="1" ht="15" thickBot="1">
      <c r="A25" s="824" t="s">
        <v>714</v>
      </c>
      <c r="B25" s="943"/>
      <c r="C25" s="944">
        <f>IF(Onbekend_ele_kWh="---",0,Onbekend_ele_kWh)/1000+IF(REST_rest_ele_kWh="---",0,REST_rest_ele_kWh)/1000</f>
        <v>2000.9217879999999</v>
      </c>
      <c r="D25" s="944"/>
      <c r="E25" s="944">
        <f>IF(onbekend_gas_kWh="---",0,onbekend_gas_kWh)/1000+IF(REST_rest_gas_kWh="---",0,REST_rest_gas_kWh)/1000</f>
        <v>2214.8768560000003</v>
      </c>
      <c r="F25" s="944"/>
      <c r="G25" s="944"/>
      <c r="H25" s="944"/>
      <c r="I25" s="944"/>
      <c r="J25" s="944"/>
      <c r="K25" s="944"/>
      <c r="L25" s="944"/>
      <c r="M25" s="944"/>
      <c r="N25" s="944"/>
      <c r="O25" s="944"/>
      <c r="P25" s="944"/>
      <c r="Q25" s="945"/>
      <c r="R25" s="684">
        <f>SUM(C25:Q25)</f>
        <v>4215.7986440000004</v>
      </c>
      <c r="S25" s="67"/>
    </row>
    <row r="26" spans="1:19" s="444" customFormat="1" ht="15.75" thickBot="1">
      <c r="A26" s="689" t="s">
        <v>715</v>
      </c>
      <c r="B26" s="810"/>
      <c r="C26" s="805">
        <f>SUM(C24:C25)</f>
        <v>3402.4523799999997</v>
      </c>
      <c r="D26" s="805">
        <f t="shared" ref="D26:R26" si="2">SUM(D24:D25)</f>
        <v>18585.000000000004</v>
      </c>
      <c r="E26" s="805">
        <f t="shared" si="2"/>
        <v>8546.110684201145</v>
      </c>
      <c r="F26" s="805">
        <f t="shared" si="2"/>
        <v>43.741307608547423</v>
      </c>
      <c r="G26" s="805">
        <f t="shared" si="2"/>
        <v>4953.1643694987597</v>
      </c>
      <c r="H26" s="805">
        <f t="shared" si="2"/>
        <v>0</v>
      </c>
      <c r="I26" s="805">
        <f t="shared" si="2"/>
        <v>0</v>
      </c>
      <c r="J26" s="805">
        <f t="shared" si="2"/>
        <v>0</v>
      </c>
      <c r="K26" s="805">
        <f t="shared" si="2"/>
        <v>386.13139762547422</v>
      </c>
      <c r="L26" s="805">
        <f t="shared" si="2"/>
        <v>0</v>
      </c>
      <c r="M26" s="805">
        <f t="shared" si="2"/>
        <v>0</v>
      </c>
      <c r="N26" s="805">
        <f t="shared" si="2"/>
        <v>0</v>
      </c>
      <c r="O26" s="805">
        <f t="shared" si="2"/>
        <v>0</v>
      </c>
      <c r="P26" s="805">
        <f t="shared" si="2"/>
        <v>0</v>
      </c>
      <c r="Q26" s="805">
        <f t="shared" si="2"/>
        <v>0</v>
      </c>
      <c r="R26" s="805">
        <f t="shared" si="2"/>
        <v>35916.600138933929</v>
      </c>
      <c r="S26" s="67"/>
    </row>
    <row r="27" spans="1:19" s="444" customFormat="1" ht="17.25" thickTop="1" thickBot="1">
      <c r="A27" s="690" t="s">
        <v>115</v>
      </c>
      <c r="B27" s="797"/>
      <c r="C27" s="691">
        <f ca="1">C22+C16+C26</f>
        <v>52315.721966013145</v>
      </c>
      <c r="D27" s="691">
        <f t="shared" ref="D27:R27" ca="1" si="3">D22+D16+D26</f>
        <v>18585.000000000004</v>
      </c>
      <c r="E27" s="691">
        <f t="shared" ca="1" si="3"/>
        <v>101635.75367093734</v>
      </c>
      <c r="F27" s="691">
        <f t="shared" si="3"/>
        <v>2897.4355925810778</v>
      </c>
      <c r="G27" s="691">
        <f t="shared" ca="1" si="3"/>
        <v>39761.015097106363</v>
      </c>
      <c r="H27" s="691">
        <f t="shared" si="3"/>
        <v>140980.24348568497</v>
      </c>
      <c r="I27" s="691">
        <f t="shared" si="3"/>
        <v>22736.644900709318</v>
      </c>
      <c r="J27" s="691">
        <f t="shared" si="3"/>
        <v>0</v>
      </c>
      <c r="K27" s="691">
        <f t="shared" si="3"/>
        <v>517.34674819110194</v>
      </c>
      <c r="L27" s="691">
        <f t="shared" si="3"/>
        <v>0</v>
      </c>
      <c r="M27" s="691">
        <f t="shared" ca="1" si="3"/>
        <v>0</v>
      </c>
      <c r="N27" s="691">
        <f t="shared" si="3"/>
        <v>9630.3190178645382</v>
      </c>
      <c r="O27" s="691">
        <f t="shared" ca="1" si="3"/>
        <v>11356.425869796969</v>
      </c>
      <c r="P27" s="691">
        <f t="shared" si="3"/>
        <v>340.06093027699666</v>
      </c>
      <c r="Q27" s="691">
        <f t="shared" si="3"/>
        <v>958.32898053547683</v>
      </c>
      <c r="R27" s="691">
        <f t="shared" ca="1" si="3"/>
        <v>401714.29625969724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2489.6096460402214</v>
      </c>
      <c r="D40" s="681">
        <f ca="1">tertiair!C20</f>
        <v>0</v>
      </c>
      <c r="E40" s="681">
        <f ca="1">tertiair!D20</f>
        <v>3276.6269185652641</v>
      </c>
      <c r="F40" s="681">
        <f>tertiair!E20</f>
        <v>45.443831225305544</v>
      </c>
      <c r="G40" s="681">
        <f ca="1">tertiair!F20</f>
        <v>380.6608553077038</v>
      </c>
      <c r="H40" s="681">
        <f>tertiair!G20</f>
        <v>0</v>
      </c>
      <c r="I40" s="681">
        <f>tertiair!H20</f>
        <v>0</v>
      </c>
      <c r="J40" s="681">
        <f>tertiair!I20</f>
        <v>0</v>
      </c>
      <c r="K40" s="681">
        <f>tertiair!J20</f>
        <v>9.6187388249830436E-3</v>
      </c>
      <c r="L40" s="681">
        <f>tertiair!K20</f>
        <v>0</v>
      </c>
      <c r="M40" s="681">
        <f ca="1">tertiair!L20</f>
        <v>0</v>
      </c>
      <c r="N40" s="681">
        <f>tertiair!M20</f>
        <v>0</v>
      </c>
      <c r="O40" s="681">
        <f ca="1">tertiair!N20</f>
        <v>0</v>
      </c>
      <c r="P40" s="681">
        <f>tertiair!O20</f>
        <v>0</v>
      </c>
      <c r="Q40" s="764">
        <f>tertiair!P20</f>
        <v>0</v>
      </c>
      <c r="R40" s="843">
        <f t="shared" ca="1" si="4"/>
        <v>6192.3508698773212</v>
      </c>
    </row>
    <row r="41" spans="1:18">
      <c r="A41" s="815" t="s">
        <v>219</v>
      </c>
      <c r="B41" s="822"/>
      <c r="C41" s="681">
        <f ca="1">huishoudens!B12</f>
        <v>5811.5784261773069</v>
      </c>
      <c r="D41" s="681">
        <f ca="1">huishoudens!C12</f>
        <v>0</v>
      </c>
      <c r="E41" s="681">
        <f>huishoudens!D12</f>
        <v>14950.614281539642</v>
      </c>
      <c r="F41" s="681">
        <f>huishoudens!E12</f>
        <v>450.76146029211037</v>
      </c>
      <c r="G41" s="681">
        <f>huishoudens!F12</f>
        <v>8547.3822167818907</v>
      </c>
      <c r="H41" s="681">
        <f>huishoudens!G12</f>
        <v>0</v>
      </c>
      <c r="I41" s="681">
        <f>huishoudens!H12</f>
        <v>0</v>
      </c>
      <c r="J41" s="681">
        <f>huishoudens!I12</f>
        <v>0</v>
      </c>
      <c r="K41" s="681">
        <f>huishoudens!J12</f>
        <v>45.272775099890303</v>
      </c>
      <c r="L41" s="681">
        <f>huishoudens!K12</f>
        <v>0</v>
      </c>
      <c r="M41" s="681">
        <f>huishoudens!L12</f>
        <v>0</v>
      </c>
      <c r="N41" s="681">
        <f>huishoudens!M12</f>
        <v>0</v>
      </c>
      <c r="O41" s="681">
        <f>huishoudens!N12</f>
        <v>0</v>
      </c>
      <c r="P41" s="681">
        <f>huishoudens!O12</f>
        <v>0</v>
      </c>
      <c r="Q41" s="764">
        <f>huishoudens!P12</f>
        <v>0</v>
      </c>
      <c r="R41" s="843">
        <f t="shared" ca="1" si="4"/>
        <v>29805.609159890839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491.65317089765284</v>
      </c>
      <c r="D43" s="681">
        <f ca="1">industrie!C22</f>
        <v>0</v>
      </c>
      <c r="E43" s="681">
        <f>industrie!D22</f>
        <v>526.09233529168807</v>
      </c>
      <c r="F43" s="681">
        <f>industrie!E22</f>
        <v>97.703489593643056</v>
      </c>
      <c r="G43" s="681">
        <f>industrie!F22</f>
        <v>365.65307218163571</v>
      </c>
      <c r="H43" s="681">
        <f>industrie!G22</f>
        <v>0</v>
      </c>
      <c r="I43" s="681">
        <f>industrie!H22</f>
        <v>0</v>
      </c>
      <c r="J43" s="681">
        <f>industrie!I22</f>
        <v>0</v>
      </c>
      <c r="K43" s="681">
        <f>industrie!J22</f>
        <v>1.167840261516907</v>
      </c>
      <c r="L43" s="681">
        <f>industrie!K22</f>
        <v>0</v>
      </c>
      <c r="M43" s="681">
        <f>industrie!L22</f>
        <v>0</v>
      </c>
      <c r="N43" s="681">
        <f>industrie!M22</f>
        <v>0</v>
      </c>
      <c r="O43" s="681">
        <f>industrie!N22</f>
        <v>0</v>
      </c>
      <c r="P43" s="681">
        <f>industrie!O22</f>
        <v>0</v>
      </c>
      <c r="Q43" s="764">
        <f>industrie!P22</f>
        <v>0</v>
      </c>
      <c r="R43" s="842">
        <f t="shared" ca="1" si="4"/>
        <v>1482.2699082261365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8792.841243115181</v>
      </c>
      <c r="D46" s="717">
        <f t="shared" ref="D46:Q46" ca="1" si="5">SUM(D39:D45)</f>
        <v>0</v>
      </c>
      <c r="E46" s="717">
        <f t="shared" ca="1" si="5"/>
        <v>18753.333535396592</v>
      </c>
      <c r="F46" s="717">
        <f t="shared" si="5"/>
        <v>593.90878111105894</v>
      </c>
      <c r="G46" s="717">
        <f t="shared" ca="1" si="5"/>
        <v>9293.6961442712309</v>
      </c>
      <c r="H46" s="717">
        <f t="shared" si="5"/>
        <v>0</v>
      </c>
      <c r="I46" s="717">
        <f t="shared" si="5"/>
        <v>0</v>
      </c>
      <c r="J46" s="717">
        <f t="shared" si="5"/>
        <v>0</v>
      </c>
      <c r="K46" s="717">
        <f t="shared" si="5"/>
        <v>46.450234100232194</v>
      </c>
      <c r="L46" s="717">
        <f t="shared" si="5"/>
        <v>0</v>
      </c>
      <c r="M46" s="717">
        <f t="shared" ca="1" si="5"/>
        <v>0</v>
      </c>
      <c r="N46" s="717">
        <f t="shared" si="5"/>
        <v>0</v>
      </c>
      <c r="O46" s="717">
        <f t="shared" ca="1" si="5"/>
        <v>0</v>
      </c>
      <c r="P46" s="717">
        <f t="shared" si="5"/>
        <v>0</v>
      </c>
      <c r="Q46" s="717">
        <f t="shared" si="5"/>
        <v>0</v>
      </c>
      <c r="R46" s="717">
        <f ca="1">SUM(R39:R45)</f>
        <v>37480.2299379943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3.2807156520810157</v>
      </c>
      <c r="D49" s="681">
        <f ca="1">transport!C58</f>
        <v>0</v>
      </c>
      <c r="E49" s="681">
        <f>transport!D58</f>
        <v>0</v>
      </c>
      <c r="F49" s="681">
        <f>transport!E58</f>
        <v>0</v>
      </c>
      <c r="G49" s="681">
        <f>transport!F58</f>
        <v>0</v>
      </c>
      <c r="H49" s="681">
        <f>transport!G58</f>
        <v>351.80329315078171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355.08400880286274</v>
      </c>
    </row>
    <row r="50" spans="1:18">
      <c r="A50" s="818" t="s">
        <v>301</v>
      </c>
      <c r="B50" s="828"/>
      <c r="C50" s="687">
        <f ca="1">transport!B18</f>
        <v>27.645690337765924</v>
      </c>
      <c r="D50" s="687">
        <f>transport!C18</f>
        <v>0</v>
      </c>
      <c r="E50" s="687">
        <f>transport!D18</f>
        <v>50.774347924120292</v>
      </c>
      <c r="F50" s="687">
        <f>transport!E18</f>
        <v>53.879821577705442</v>
      </c>
      <c r="G50" s="687">
        <f>transport!F18</f>
        <v>0</v>
      </c>
      <c r="H50" s="687">
        <f>transport!G18</f>
        <v>37289.921717527111</v>
      </c>
      <c r="I50" s="687">
        <f>transport!H18</f>
        <v>5661.42458027662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43083.646157643321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30.926405989846941</v>
      </c>
      <c r="D52" s="717">
        <f t="shared" ref="D52:Q52" ca="1" si="6">SUM(D48:D51)</f>
        <v>0</v>
      </c>
      <c r="E52" s="717">
        <f t="shared" si="6"/>
        <v>50.774347924120292</v>
      </c>
      <c r="F52" s="717">
        <f t="shared" si="6"/>
        <v>53.879821577705442</v>
      </c>
      <c r="G52" s="717">
        <f t="shared" si="6"/>
        <v>0</v>
      </c>
      <c r="H52" s="717">
        <f t="shared" si="6"/>
        <v>37641.725010677896</v>
      </c>
      <c r="I52" s="717">
        <f t="shared" si="6"/>
        <v>5661.42458027662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43438.730166446185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252.8307839894826</v>
      </c>
      <c r="D54" s="687">
        <f ca="1">+landbouw!C12</f>
        <v>3163.9310924369752</v>
      </c>
      <c r="E54" s="687">
        <f>+landbouw!D12</f>
        <v>1278.9092332966311</v>
      </c>
      <c r="F54" s="687">
        <f>+landbouw!E12</f>
        <v>9.9292768271402654</v>
      </c>
      <c r="G54" s="687">
        <f>+landbouw!F12</f>
        <v>1322.494886656169</v>
      </c>
      <c r="H54" s="687">
        <f>+landbouw!G12</f>
        <v>0</v>
      </c>
      <c r="I54" s="687">
        <f>+landbouw!H12</f>
        <v>0</v>
      </c>
      <c r="J54" s="687">
        <f>+landbouw!I12</f>
        <v>0</v>
      </c>
      <c r="K54" s="687">
        <f>+landbouw!J12</f>
        <v>136.69051475941788</v>
      </c>
      <c r="L54" s="687">
        <f>+landbouw!K12</f>
        <v>0</v>
      </c>
      <c r="M54" s="687">
        <f>+landbouw!L12</f>
        <v>0</v>
      </c>
      <c r="N54" s="687">
        <f>+landbouw!M12</f>
        <v>0</v>
      </c>
      <c r="O54" s="687">
        <f>+landbouw!N12</f>
        <v>0</v>
      </c>
      <c r="P54" s="687">
        <f>+landbouw!O12</f>
        <v>0</v>
      </c>
      <c r="Q54" s="688">
        <f>+landbouw!P12</f>
        <v>0</v>
      </c>
      <c r="R54" s="716">
        <f ca="1">SUM(C54:Q54)</f>
        <v>6164.7857879658168</v>
      </c>
    </row>
    <row r="55" spans="1:18" ht="15" thickBot="1">
      <c r="A55" s="818" t="s">
        <v>714</v>
      </c>
      <c r="B55" s="828"/>
      <c r="C55" s="687">
        <f ca="1">C25*'EF ele_warmte'!B12</f>
        <v>360.95867421613679</v>
      </c>
      <c r="D55" s="687"/>
      <c r="E55" s="687">
        <f>E25*EF_CO2_aardgas</f>
        <v>447.40512491200008</v>
      </c>
      <c r="F55" s="687"/>
      <c r="G55" s="687"/>
      <c r="H55" s="687"/>
      <c r="I55" s="687"/>
      <c r="J55" s="687"/>
      <c r="K55" s="687"/>
      <c r="L55" s="687"/>
      <c r="M55" s="687"/>
      <c r="N55" s="687"/>
      <c r="O55" s="687"/>
      <c r="P55" s="687"/>
      <c r="Q55" s="688"/>
      <c r="R55" s="716">
        <f ca="1">SUM(C55:Q55)</f>
        <v>808.36379912813686</v>
      </c>
    </row>
    <row r="56" spans="1:18" ht="15.75" thickBot="1">
      <c r="A56" s="816" t="s">
        <v>715</v>
      </c>
      <c r="B56" s="829"/>
      <c r="C56" s="717">
        <f ca="1">SUM(C54:C55)</f>
        <v>613.78945820561944</v>
      </c>
      <c r="D56" s="717">
        <f t="shared" ref="D56:Q56" ca="1" si="7">SUM(D54:D55)</f>
        <v>3163.9310924369752</v>
      </c>
      <c r="E56" s="717">
        <f t="shared" si="7"/>
        <v>1726.3143582086311</v>
      </c>
      <c r="F56" s="717">
        <f t="shared" si="7"/>
        <v>9.9292768271402654</v>
      </c>
      <c r="G56" s="717">
        <f t="shared" si="7"/>
        <v>1322.494886656169</v>
      </c>
      <c r="H56" s="717">
        <f t="shared" si="7"/>
        <v>0</v>
      </c>
      <c r="I56" s="717">
        <f t="shared" si="7"/>
        <v>0</v>
      </c>
      <c r="J56" s="717">
        <f t="shared" si="7"/>
        <v>0</v>
      </c>
      <c r="K56" s="717">
        <f t="shared" si="7"/>
        <v>136.69051475941788</v>
      </c>
      <c r="L56" s="717">
        <f t="shared" si="7"/>
        <v>0</v>
      </c>
      <c r="M56" s="717">
        <f t="shared" si="7"/>
        <v>0</v>
      </c>
      <c r="N56" s="717">
        <f t="shared" si="7"/>
        <v>0</v>
      </c>
      <c r="O56" s="717">
        <f t="shared" si="7"/>
        <v>0</v>
      </c>
      <c r="P56" s="717">
        <f t="shared" si="7"/>
        <v>0</v>
      </c>
      <c r="Q56" s="718">
        <f t="shared" si="7"/>
        <v>0</v>
      </c>
      <c r="R56" s="719">
        <f ca="1">SUM(R54:R55)</f>
        <v>6973.1495870939534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9437.5571073106476</v>
      </c>
      <c r="D61" s="725">
        <f t="shared" ref="D61:Q61" ca="1" si="8">D46+D52+D56</f>
        <v>3163.9310924369752</v>
      </c>
      <c r="E61" s="725">
        <f t="shared" ca="1" si="8"/>
        <v>20530.422241529344</v>
      </c>
      <c r="F61" s="725">
        <f t="shared" si="8"/>
        <v>657.71787951590466</v>
      </c>
      <c r="G61" s="725">
        <f t="shared" ca="1" si="8"/>
        <v>10616.191030927399</v>
      </c>
      <c r="H61" s="725">
        <f t="shared" si="8"/>
        <v>37641.725010677896</v>
      </c>
      <c r="I61" s="725">
        <f t="shared" si="8"/>
        <v>5661.42458027662</v>
      </c>
      <c r="J61" s="725">
        <f t="shared" si="8"/>
        <v>0</v>
      </c>
      <c r="K61" s="725">
        <f t="shared" si="8"/>
        <v>183.14074885965007</v>
      </c>
      <c r="L61" s="725">
        <f t="shared" si="8"/>
        <v>0</v>
      </c>
      <c r="M61" s="725">
        <f t="shared" ca="1" si="8"/>
        <v>0</v>
      </c>
      <c r="N61" s="725">
        <f t="shared" si="8"/>
        <v>0</v>
      </c>
      <c r="O61" s="725">
        <f t="shared" ca="1" si="8"/>
        <v>0</v>
      </c>
      <c r="P61" s="725">
        <f t="shared" si="8"/>
        <v>0</v>
      </c>
      <c r="Q61" s="725">
        <f t="shared" si="8"/>
        <v>0</v>
      </c>
      <c r="R61" s="725">
        <f ca="1">R46+R52+R56</f>
        <v>87892.109691534439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0.18039619358482231</v>
      </c>
      <c r="D63" s="771">
        <f t="shared" ca="1" si="9"/>
        <v>0.17024111339451034</v>
      </c>
      <c r="E63" s="969">
        <f t="shared" ca="1" si="9"/>
        <v>0.20200000000000001</v>
      </c>
      <c r="F63" s="771">
        <f t="shared" si="9"/>
        <v>0.22700000000000001</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6623.8448501544772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3690</v>
      </c>
      <c r="C76" s="738">
        <f>'lokale energieproductie'!B8*IFERROR(SUM(D76:H76)/SUM(D76:O76),0)</f>
        <v>9319.5</v>
      </c>
      <c r="D76" s="952">
        <f>'lokale energieproductie'!C8</f>
        <v>10964.117647058822</v>
      </c>
      <c r="E76" s="953">
        <f>'lokale energieproductie'!D8</f>
        <v>0</v>
      </c>
      <c r="F76" s="953">
        <f>'lokale energieproductie'!E8</f>
        <v>0</v>
      </c>
      <c r="G76" s="953">
        <f>'lokale energieproductie'!F8</f>
        <v>0</v>
      </c>
      <c r="H76" s="953">
        <f>'lokale energieproductie'!G8</f>
        <v>0</v>
      </c>
      <c r="I76" s="953">
        <f>'lokale energieproductie'!I8</f>
        <v>0</v>
      </c>
      <c r="J76" s="953">
        <f>'lokale energieproductie'!J8</f>
        <v>4341.1764705882342</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2214.7517647058821</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10313.844850154477</v>
      </c>
      <c r="C78" s="743">
        <f>SUM(C72:C77)</f>
        <v>9319.5</v>
      </c>
      <c r="D78" s="744">
        <f t="shared" ref="D78:H78" si="10">SUM(D76:D77)</f>
        <v>10964.117647058822</v>
      </c>
      <c r="E78" s="744">
        <f t="shared" si="10"/>
        <v>0</v>
      </c>
      <c r="F78" s="744">
        <f t="shared" si="10"/>
        <v>0</v>
      </c>
      <c r="G78" s="744">
        <f t="shared" si="10"/>
        <v>0</v>
      </c>
      <c r="H78" s="744">
        <f t="shared" si="10"/>
        <v>0</v>
      </c>
      <c r="I78" s="744">
        <f>SUM(I76:I77)</f>
        <v>0</v>
      </c>
      <c r="J78" s="744">
        <f>SUM(J76:J77)</f>
        <v>4341.1764705882342</v>
      </c>
      <c r="K78" s="744">
        <f t="shared" ref="K78:L78" si="11">SUM(K76:K77)</f>
        <v>0</v>
      </c>
      <c r="L78" s="744">
        <f t="shared" si="11"/>
        <v>0</v>
      </c>
      <c r="M78" s="744">
        <f>SUM(M76:M77)</f>
        <v>0</v>
      </c>
      <c r="N78" s="744">
        <f>SUM(N76:N77)</f>
        <v>0</v>
      </c>
      <c r="O78" s="853">
        <f>SUM(O76:O77)</f>
        <v>0</v>
      </c>
      <c r="P78" s="745">
        <v>0</v>
      </c>
      <c r="Q78" s="745">
        <f>SUM(Q76:Q77)</f>
        <v>2214.7517647058821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5271.4285714285716</v>
      </c>
      <c r="C87" s="756">
        <f>'lokale energieproductie'!B17*IFERROR(SUM(D87:H87)/SUM(D87:O87),0)</f>
        <v>13313.571428571431</v>
      </c>
      <c r="D87" s="767">
        <f>'lokale energieproductie'!C17</f>
        <v>15663.025210084035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6201.680672268908</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3163.9310924369752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5271.4285714285716</v>
      </c>
      <c r="C90" s="743">
        <f>SUM(C87:C89)</f>
        <v>13313.571428571431</v>
      </c>
      <c r="D90" s="743">
        <f t="shared" ref="D90:H90" si="12">SUM(D87:D89)</f>
        <v>15663.025210084035</v>
      </c>
      <c r="E90" s="743">
        <f t="shared" si="12"/>
        <v>0</v>
      </c>
      <c r="F90" s="743">
        <f t="shared" si="12"/>
        <v>0</v>
      </c>
      <c r="G90" s="743">
        <f t="shared" si="12"/>
        <v>0</v>
      </c>
      <c r="H90" s="743">
        <f t="shared" si="12"/>
        <v>0</v>
      </c>
      <c r="I90" s="743">
        <f>SUM(I87:I89)</f>
        <v>0</v>
      </c>
      <c r="J90" s="743">
        <f>SUM(J87:J89)</f>
        <v>6201.680672268908</v>
      </c>
      <c r="K90" s="743">
        <f t="shared" ref="K90:L90" si="13">SUM(K87:K89)</f>
        <v>0</v>
      </c>
      <c r="L90" s="743">
        <f t="shared" si="13"/>
        <v>0</v>
      </c>
      <c r="M90" s="743">
        <f>SUM(M87:M89)</f>
        <v>0</v>
      </c>
      <c r="N90" s="743">
        <f>SUM(N87:N89)</f>
        <v>0</v>
      </c>
      <c r="O90" s="743">
        <f>SUM(O87:O89)</f>
        <v>0</v>
      </c>
      <c r="P90" s="743">
        <v>0</v>
      </c>
      <c r="Q90" s="743">
        <f>SUM(Q87:Q89)</f>
        <v>3163.9310924369752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32215.637762027956</v>
      </c>
      <c r="C4" s="448">
        <f>huishoudens!C8</f>
        <v>0</v>
      </c>
      <c r="D4" s="448">
        <f>huishoudens!D8</f>
        <v>74012.941987819999</v>
      </c>
      <c r="E4" s="448">
        <f>huishoudens!E8</f>
        <v>1985.7333052515876</v>
      </c>
      <c r="F4" s="448">
        <f>huishoudens!F8</f>
        <v>32012.667478583859</v>
      </c>
      <c r="G4" s="448">
        <f>huishoudens!G8</f>
        <v>0</v>
      </c>
      <c r="H4" s="448">
        <f>huishoudens!H8</f>
        <v>0</v>
      </c>
      <c r="I4" s="448">
        <f>huishoudens!I8</f>
        <v>0</v>
      </c>
      <c r="J4" s="448">
        <f>huishoudens!J8</f>
        <v>127.88919519743024</v>
      </c>
      <c r="K4" s="448">
        <f>huishoudens!K8</f>
        <v>0</v>
      </c>
      <c r="L4" s="448">
        <f>huishoudens!L8</f>
        <v>0</v>
      </c>
      <c r="M4" s="448">
        <f>huishoudens!M8</f>
        <v>0</v>
      </c>
      <c r="N4" s="448">
        <f>huishoudens!N8</f>
        <v>10115.310899983568</v>
      </c>
      <c r="O4" s="448">
        <f>huishoudens!O8</f>
        <v>325.36914797947321</v>
      </c>
      <c r="P4" s="449">
        <f>huishoudens!P8</f>
        <v>853.25070392248676</v>
      </c>
      <c r="Q4" s="450">
        <f>SUM(B4:P4)</f>
        <v>151648.80048076637</v>
      </c>
    </row>
    <row r="5" spans="1:17">
      <c r="A5" s="447" t="s">
        <v>155</v>
      </c>
      <c r="B5" s="448">
        <f ca="1">tertiair!B16</f>
        <v>12751.509124000002</v>
      </c>
      <c r="C5" s="448">
        <f ca="1">tertiair!C16</f>
        <v>0</v>
      </c>
      <c r="D5" s="448">
        <f ca="1">tertiair!D16</f>
        <v>16220.925339432</v>
      </c>
      <c r="E5" s="448">
        <f>tertiair!E16</f>
        <v>200.19308909826231</v>
      </c>
      <c r="F5" s="448">
        <f ca="1">tertiair!F16</f>
        <v>1425.6960872947707</v>
      </c>
      <c r="G5" s="448">
        <f>tertiair!G16</f>
        <v>0</v>
      </c>
      <c r="H5" s="448">
        <f>tertiair!H16</f>
        <v>0</v>
      </c>
      <c r="I5" s="448">
        <f>tertiair!I16</f>
        <v>0</v>
      </c>
      <c r="J5" s="448">
        <f>tertiair!J16</f>
        <v>2.7171578601647015E-2</v>
      </c>
      <c r="K5" s="448">
        <f>tertiair!K16</f>
        <v>0</v>
      </c>
      <c r="L5" s="448">
        <f ca="1">tertiair!L16</f>
        <v>0</v>
      </c>
      <c r="M5" s="448">
        <f>tertiair!M16</f>
        <v>0</v>
      </c>
      <c r="N5" s="448">
        <f ca="1">tertiair!N16</f>
        <v>1069.9716143163485</v>
      </c>
      <c r="O5" s="448">
        <f>tertiair!O16</f>
        <v>14.691782297523464</v>
      </c>
      <c r="P5" s="449">
        <f>tertiair!P16</f>
        <v>105.07827661299004</v>
      </c>
      <c r="Q5" s="447">
        <f t="shared" ref="Q5:Q14" ca="1" si="0">SUM(B5:P5)</f>
        <v>31788.092484630495</v>
      </c>
    </row>
    <row r="6" spans="1:17">
      <c r="A6" s="447" t="s">
        <v>193</v>
      </c>
      <c r="B6" s="448">
        <f>'openbare verlichting'!B8</f>
        <v>1049.279</v>
      </c>
      <c r="C6" s="448"/>
      <c r="D6" s="448"/>
      <c r="E6" s="448"/>
      <c r="F6" s="448"/>
      <c r="G6" s="448"/>
      <c r="H6" s="448"/>
      <c r="I6" s="448"/>
      <c r="J6" s="448"/>
      <c r="K6" s="448"/>
      <c r="L6" s="448"/>
      <c r="M6" s="448"/>
      <c r="N6" s="448"/>
      <c r="O6" s="448"/>
      <c r="P6" s="449"/>
      <c r="Q6" s="447">
        <f t="shared" si="0"/>
        <v>1049.279</v>
      </c>
    </row>
    <row r="7" spans="1:17">
      <c r="A7" s="447" t="s">
        <v>111</v>
      </c>
      <c r="B7" s="448">
        <f>landbouw!B8</f>
        <v>1401.5305919999998</v>
      </c>
      <c r="C7" s="448">
        <f>landbouw!C8</f>
        <v>18585.000000000004</v>
      </c>
      <c r="D7" s="448">
        <f>landbouw!D8</f>
        <v>6331.2338282011442</v>
      </c>
      <c r="E7" s="448">
        <f>landbouw!E8</f>
        <v>43.741307608547423</v>
      </c>
      <c r="F7" s="448">
        <f>landbouw!F8</f>
        <v>4953.1643694987597</v>
      </c>
      <c r="G7" s="448">
        <f>landbouw!G8</f>
        <v>0</v>
      </c>
      <c r="H7" s="448">
        <f>landbouw!H8</f>
        <v>0</v>
      </c>
      <c r="I7" s="448">
        <f>landbouw!I8</f>
        <v>0</v>
      </c>
      <c r="J7" s="448">
        <f>landbouw!J8</f>
        <v>386.13139762547422</v>
      </c>
      <c r="K7" s="448">
        <f>landbouw!K8</f>
        <v>0</v>
      </c>
      <c r="L7" s="448">
        <f>landbouw!L8</f>
        <v>0</v>
      </c>
      <c r="M7" s="448">
        <f>landbouw!M8</f>
        <v>0</v>
      </c>
      <c r="N7" s="448">
        <f>landbouw!N8</f>
        <v>0</v>
      </c>
      <c r="O7" s="448">
        <f>landbouw!O8</f>
        <v>0</v>
      </c>
      <c r="P7" s="449">
        <f>landbouw!P8</f>
        <v>0</v>
      </c>
      <c r="Q7" s="447">
        <f t="shared" si="0"/>
        <v>31700.801494933927</v>
      </c>
    </row>
    <row r="8" spans="1:17">
      <c r="A8" s="447" t="s">
        <v>618</v>
      </c>
      <c r="B8" s="448">
        <f>industrie!B18</f>
        <v>2725.4076769999997</v>
      </c>
      <c r="C8" s="448">
        <f>industrie!C18</f>
        <v>0</v>
      </c>
      <c r="D8" s="448">
        <f>industrie!D18</f>
        <v>2604.4175014440002</v>
      </c>
      <c r="E8" s="448">
        <f>industrie!E18</f>
        <v>430.4118484301456</v>
      </c>
      <c r="F8" s="448">
        <f>industrie!F18</f>
        <v>1369.4871617289725</v>
      </c>
      <c r="G8" s="448">
        <f>industrie!G18</f>
        <v>0</v>
      </c>
      <c r="H8" s="448">
        <f>industrie!H18</f>
        <v>0</v>
      </c>
      <c r="I8" s="448">
        <f>industrie!I18</f>
        <v>0</v>
      </c>
      <c r="J8" s="448">
        <f>industrie!J18</f>
        <v>3.2989837895957828</v>
      </c>
      <c r="K8" s="448">
        <f>industrie!K18</f>
        <v>0</v>
      </c>
      <c r="L8" s="448">
        <f>industrie!L18</f>
        <v>0</v>
      </c>
      <c r="M8" s="448">
        <f>industrie!M18</f>
        <v>0</v>
      </c>
      <c r="N8" s="448">
        <f>industrie!N18</f>
        <v>171.14335549705405</v>
      </c>
      <c r="O8" s="448">
        <f>industrie!O18</f>
        <v>0</v>
      </c>
      <c r="P8" s="449">
        <f>industrie!P18</f>
        <v>0</v>
      </c>
      <c r="Q8" s="447">
        <f t="shared" si="0"/>
        <v>7304.1665278897681</v>
      </c>
    </row>
    <row r="9" spans="1:17" s="453" customFormat="1">
      <c r="A9" s="451" t="s">
        <v>544</v>
      </c>
      <c r="B9" s="452">
        <f>transport!B14</f>
        <v>153.24985404842766</v>
      </c>
      <c r="C9" s="452">
        <f>transport!C14</f>
        <v>0</v>
      </c>
      <c r="D9" s="452">
        <f>transport!D14</f>
        <v>251.35815804019944</v>
      </c>
      <c r="E9" s="452">
        <f>transport!E14</f>
        <v>237.35604219253497</v>
      </c>
      <c r="F9" s="452">
        <f>transport!F14</f>
        <v>0</v>
      </c>
      <c r="G9" s="452">
        <f>transport!G14</f>
        <v>139662.62815553223</v>
      </c>
      <c r="H9" s="452">
        <f>transport!H14</f>
        <v>22736.644900709318</v>
      </c>
      <c r="I9" s="452">
        <f>transport!I14</f>
        <v>0</v>
      </c>
      <c r="J9" s="452">
        <f>transport!J14</f>
        <v>0</v>
      </c>
      <c r="K9" s="452">
        <f>transport!K14</f>
        <v>0</v>
      </c>
      <c r="L9" s="452">
        <f>transport!L14</f>
        <v>0</v>
      </c>
      <c r="M9" s="452">
        <f>transport!M14</f>
        <v>9555.7907709312658</v>
      </c>
      <c r="N9" s="452">
        <f>transport!N14</f>
        <v>0</v>
      </c>
      <c r="O9" s="452">
        <f>transport!O14</f>
        <v>0</v>
      </c>
      <c r="P9" s="452">
        <f>transport!P14</f>
        <v>0</v>
      </c>
      <c r="Q9" s="451">
        <f>SUM(B9:P9)</f>
        <v>172597.02788145395</v>
      </c>
    </row>
    <row r="10" spans="1:17">
      <c r="A10" s="447" t="s">
        <v>534</v>
      </c>
      <c r="B10" s="448">
        <f>transport!B54</f>
        <v>18.186168936754328</v>
      </c>
      <c r="C10" s="448">
        <f>transport!C54</f>
        <v>0</v>
      </c>
      <c r="D10" s="448">
        <f>transport!D54</f>
        <v>0</v>
      </c>
      <c r="E10" s="448">
        <f>transport!E54</f>
        <v>0</v>
      </c>
      <c r="F10" s="448">
        <f>transport!F54</f>
        <v>0</v>
      </c>
      <c r="G10" s="448">
        <f>transport!G54</f>
        <v>1317.6153301527404</v>
      </c>
      <c r="H10" s="448">
        <f>transport!H54</f>
        <v>0</v>
      </c>
      <c r="I10" s="448">
        <f>transport!I54</f>
        <v>0</v>
      </c>
      <c r="J10" s="448">
        <f>transport!J54</f>
        <v>0</v>
      </c>
      <c r="K10" s="448">
        <f>transport!K54</f>
        <v>0</v>
      </c>
      <c r="L10" s="448">
        <f>transport!L54</f>
        <v>0</v>
      </c>
      <c r="M10" s="448">
        <f>transport!M54</f>
        <v>74.528246933272101</v>
      </c>
      <c r="N10" s="448">
        <f>transport!N54</f>
        <v>0</v>
      </c>
      <c r="O10" s="448">
        <f>transport!O54</f>
        <v>0</v>
      </c>
      <c r="P10" s="449">
        <f>transport!P54</f>
        <v>0</v>
      </c>
      <c r="Q10" s="447">
        <f t="shared" si="0"/>
        <v>1410.3297460227668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2000.9217879999999</v>
      </c>
      <c r="C14" s="455"/>
      <c r="D14" s="455">
        <f>'SEAP template'!E25</f>
        <v>2214.8768560000003</v>
      </c>
      <c r="E14" s="455"/>
      <c r="F14" s="455"/>
      <c r="G14" s="455"/>
      <c r="H14" s="455"/>
      <c r="I14" s="455"/>
      <c r="J14" s="455"/>
      <c r="K14" s="455"/>
      <c r="L14" s="455"/>
      <c r="M14" s="455"/>
      <c r="N14" s="455"/>
      <c r="O14" s="455"/>
      <c r="P14" s="456"/>
      <c r="Q14" s="447">
        <f t="shared" si="0"/>
        <v>4215.7986440000004</v>
      </c>
    </row>
    <row r="15" spans="1:17" s="459" customFormat="1">
      <c r="A15" s="457" t="s">
        <v>538</v>
      </c>
      <c r="B15" s="458">
        <f ca="1">SUM(B4:B14)</f>
        <v>52315.721966013152</v>
      </c>
      <c r="C15" s="458">
        <f t="shared" ref="C15:Q15" ca="1" si="1">SUM(C4:C14)</f>
        <v>18585.000000000004</v>
      </c>
      <c r="D15" s="458">
        <f t="shared" ca="1" si="1"/>
        <v>101635.75367093734</v>
      </c>
      <c r="E15" s="458">
        <f t="shared" si="1"/>
        <v>2897.4355925810778</v>
      </c>
      <c r="F15" s="458">
        <f t="shared" ca="1" si="1"/>
        <v>39761.015097106363</v>
      </c>
      <c r="G15" s="458">
        <f t="shared" si="1"/>
        <v>140980.24348568497</v>
      </c>
      <c r="H15" s="458">
        <f t="shared" si="1"/>
        <v>22736.644900709318</v>
      </c>
      <c r="I15" s="458">
        <f t="shared" si="1"/>
        <v>0</v>
      </c>
      <c r="J15" s="458">
        <f t="shared" si="1"/>
        <v>517.34674819110194</v>
      </c>
      <c r="K15" s="458">
        <f t="shared" si="1"/>
        <v>0</v>
      </c>
      <c r="L15" s="458">
        <f t="shared" ca="1" si="1"/>
        <v>0</v>
      </c>
      <c r="M15" s="458">
        <f t="shared" si="1"/>
        <v>9630.3190178645382</v>
      </c>
      <c r="N15" s="458">
        <f t="shared" ca="1" si="1"/>
        <v>11356.425869796969</v>
      </c>
      <c r="O15" s="458">
        <f t="shared" si="1"/>
        <v>340.06093027699666</v>
      </c>
      <c r="P15" s="458">
        <f t="shared" si="1"/>
        <v>958.32898053547683</v>
      </c>
      <c r="Q15" s="458">
        <f t="shared" ca="1" si="1"/>
        <v>401714.29625969729</v>
      </c>
    </row>
    <row r="17" spans="1:17">
      <c r="A17" s="460" t="s">
        <v>539</v>
      </c>
      <c r="B17" s="776">
        <f ca="1">huishoudens!B10</f>
        <v>0.18039619358482231</v>
      </c>
      <c r="C17" s="776">
        <f ca="1">huishoudens!C10</f>
        <v>0.17024111339451034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5811.5784261773069</v>
      </c>
      <c r="C22" s="448">
        <f t="shared" ref="C22:C32" ca="1" si="3">C4*$C$17</f>
        <v>0</v>
      </c>
      <c r="D22" s="448">
        <f t="shared" ref="D22:D32" si="4">D4*$D$17</f>
        <v>14950.614281539642</v>
      </c>
      <c r="E22" s="448">
        <f t="shared" ref="E22:E32" si="5">E4*$E$17</f>
        <v>450.76146029211037</v>
      </c>
      <c r="F22" s="448">
        <f t="shared" ref="F22:F32" si="6">F4*$F$17</f>
        <v>8547.3822167818907</v>
      </c>
      <c r="G22" s="448">
        <f t="shared" ref="G22:G32" si="7">G4*$G$17</f>
        <v>0</v>
      </c>
      <c r="H22" s="448">
        <f t="shared" ref="H22:H32" si="8">H4*$H$17</f>
        <v>0</v>
      </c>
      <c r="I22" s="448">
        <f t="shared" ref="I22:I32" si="9">I4*$I$17</f>
        <v>0</v>
      </c>
      <c r="J22" s="448">
        <f t="shared" ref="J22:J32" si="10">J4*$J$17</f>
        <v>45.272775099890303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29805.609159890839</v>
      </c>
    </row>
    <row r="23" spans="1:17">
      <c r="A23" s="447" t="s">
        <v>155</v>
      </c>
      <c r="B23" s="448">
        <f t="shared" ca="1" si="2"/>
        <v>2300.3237084317325</v>
      </c>
      <c r="C23" s="448">
        <f t="shared" ca="1" si="3"/>
        <v>0</v>
      </c>
      <c r="D23" s="448">
        <f t="shared" ca="1" si="4"/>
        <v>3276.6269185652641</v>
      </c>
      <c r="E23" s="448">
        <f t="shared" si="5"/>
        <v>45.443831225305544</v>
      </c>
      <c r="F23" s="448">
        <f t="shared" ca="1" si="6"/>
        <v>380.6608553077038</v>
      </c>
      <c r="G23" s="448">
        <f t="shared" si="7"/>
        <v>0</v>
      </c>
      <c r="H23" s="448">
        <f t="shared" si="8"/>
        <v>0</v>
      </c>
      <c r="I23" s="448">
        <f t="shared" si="9"/>
        <v>0</v>
      </c>
      <c r="J23" s="448">
        <f t="shared" si="10"/>
        <v>9.6187388249830436E-3</v>
      </c>
      <c r="K23" s="448">
        <f t="shared" si="11"/>
        <v>0</v>
      </c>
      <c r="L23" s="448">
        <f t="shared" ca="1" si="12"/>
        <v>0</v>
      </c>
      <c r="M23" s="448">
        <f t="shared" si="13"/>
        <v>0</v>
      </c>
      <c r="N23" s="448">
        <f t="shared" ca="1" si="14"/>
        <v>0</v>
      </c>
      <c r="O23" s="448">
        <f t="shared" si="15"/>
        <v>0</v>
      </c>
      <c r="P23" s="449">
        <f t="shared" si="16"/>
        <v>0</v>
      </c>
      <c r="Q23" s="447">
        <f t="shared" ref="Q23:Q31" ca="1" si="17">SUM(B23:P23)</f>
        <v>6003.0649322688323</v>
      </c>
    </row>
    <row r="24" spans="1:17">
      <c r="A24" s="447" t="s">
        <v>193</v>
      </c>
      <c r="B24" s="448">
        <f t="shared" ca="1" si="2"/>
        <v>189.28593760848878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189.28593760848878</v>
      </c>
    </row>
    <row r="25" spans="1:17">
      <c r="A25" s="447" t="s">
        <v>111</v>
      </c>
      <c r="B25" s="448">
        <f t="shared" ca="1" si="2"/>
        <v>252.8307839894826</v>
      </c>
      <c r="C25" s="448">
        <f t="shared" ca="1" si="3"/>
        <v>3163.9310924369752</v>
      </c>
      <c r="D25" s="448">
        <f t="shared" si="4"/>
        <v>1278.9092332966311</v>
      </c>
      <c r="E25" s="448">
        <f t="shared" si="5"/>
        <v>9.9292768271402654</v>
      </c>
      <c r="F25" s="448">
        <f t="shared" si="6"/>
        <v>1322.494886656169</v>
      </c>
      <c r="G25" s="448">
        <f t="shared" si="7"/>
        <v>0</v>
      </c>
      <c r="H25" s="448">
        <f t="shared" si="8"/>
        <v>0</v>
      </c>
      <c r="I25" s="448">
        <f t="shared" si="9"/>
        <v>0</v>
      </c>
      <c r="J25" s="448">
        <f t="shared" si="10"/>
        <v>136.69051475941788</v>
      </c>
      <c r="K25" s="448">
        <f t="shared" si="11"/>
        <v>0</v>
      </c>
      <c r="L25" s="448">
        <f t="shared" si="12"/>
        <v>0</v>
      </c>
      <c r="M25" s="448">
        <f t="shared" si="13"/>
        <v>0</v>
      </c>
      <c r="N25" s="448">
        <f t="shared" si="14"/>
        <v>0</v>
      </c>
      <c r="O25" s="448">
        <f t="shared" si="15"/>
        <v>0</v>
      </c>
      <c r="P25" s="449">
        <f t="shared" si="16"/>
        <v>0</v>
      </c>
      <c r="Q25" s="447">
        <f t="shared" ca="1" si="17"/>
        <v>6164.7857879658168</v>
      </c>
    </row>
    <row r="26" spans="1:17">
      <c r="A26" s="447" t="s">
        <v>618</v>
      </c>
      <c r="B26" s="448">
        <f t="shared" ca="1" si="2"/>
        <v>491.65317089765284</v>
      </c>
      <c r="C26" s="448">
        <f t="shared" ca="1" si="3"/>
        <v>0</v>
      </c>
      <c r="D26" s="448">
        <f t="shared" si="4"/>
        <v>526.09233529168807</v>
      </c>
      <c r="E26" s="448">
        <f t="shared" si="5"/>
        <v>97.703489593643056</v>
      </c>
      <c r="F26" s="448">
        <f t="shared" si="6"/>
        <v>365.65307218163571</v>
      </c>
      <c r="G26" s="448">
        <f t="shared" si="7"/>
        <v>0</v>
      </c>
      <c r="H26" s="448">
        <f t="shared" si="8"/>
        <v>0</v>
      </c>
      <c r="I26" s="448">
        <f t="shared" si="9"/>
        <v>0</v>
      </c>
      <c r="J26" s="448">
        <f t="shared" si="10"/>
        <v>1.167840261516907</v>
      </c>
      <c r="K26" s="448">
        <f t="shared" si="11"/>
        <v>0</v>
      </c>
      <c r="L26" s="448">
        <f t="shared" si="12"/>
        <v>0</v>
      </c>
      <c r="M26" s="448">
        <f t="shared" si="13"/>
        <v>0</v>
      </c>
      <c r="N26" s="448">
        <f t="shared" si="14"/>
        <v>0</v>
      </c>
      <c r="O26" s="448">
        <f t="shared" si="15"/>
        <v>0</v>
      </c>
      <c r="P26" s="449">
        <f t="shared" si="16"/>
        <v>0</v>
      </c>
      <c r="Q26" s="447">
        <f t="shared" ca="1" si="17"/>
        <v>1482.2699082261365</v>
      </c>
    </row>
    <row r="27" spans="1:17" s="453" customFormat="1">
      <c r="A27" s="451" t="s">
        <v>544</v>
      </c>
      <c r="B27" s="770">
        <f t="shared" ca="1" si="2"/>
        <v>27.645690337765924</v>
      </c>
      <c r="C27" s="452">
        <f t="shared" ca="1" si="3"/>
        <v>0</v>
      </c>
      <c r="D27" s="452">
        <f t="shared" si="4"/>
        <v>50.774347924120292</v>
      </c>
      <c r="E27" s="452">
        <f t="shared" si="5"/>
        <v>53.879821577705442</v>
      </c>
      <c r="F27" s="452">
        <f t="shared" si="6"/>
        <v>0</v>
      </c>
      <c r="G27" s="452">
        <f t="shared" si="7"/>
        <v>37289.921717527111</v>
      </c>
      <c r="H27" s="452">
        <f t="shared" si="8"/>
        <v>5661.42458027662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43083.646157643321</v>
      </c>
    </row>
    <row r="28" spans="1:17" ht="16.5" customHeight="1">
      <c r="A28" s="447" t="s">
        <v>534</v>
      </c>
      <c r="B28" s="448">
        <f t="shared" ca="1" si="2"/>
        <v>3.2807156520810157</v>
      </c>
      <c r="C28" s="448">
        <f t="shared" ca="1" si="3"/>
        <v>0</v>
      </c>
      <c r="D28" s="448">
        <f t="shared" si="4"/>
        <v>0</v>
      </c>
      <c r="E28" s="448">
        <f t="shared" si="5"/>
        <v>0</v>
      </c>
      <c r="F28" s="448">
        <f t="shared" si="6"/>
        <v>0</v>
      </c>
      <c r="G28" s="448">
        <f t="shared" si="7"/>
        <v>351.80329315078171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355.08400880286274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360.95867421613679</v>
      </c>
      <c r="C32" s="448">
        <f t="shared" ca="1" si="3"/>
        <v>0</v>
      </c>
      <c r="D32" s="448">
        <f t="shared" si="4"/>
        <v>447.40512491200008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808.36379912813686</v>
      </c>
    </row>
    <row r="33" spans="1:17" s="459" customFormat="1">
      <c r="A33" s="457" t="s">
        <v>538</v>
      </c>
      <c r="B33" s="458">
        <f ca="1">SUM(B22:B32)</f>
        <v>9437.5571073106476</v>
      </c>
      <c r="C33" s="458">
        <f t="shared" ref="C33:Q33" ca="1" si="19">SUM(C22:C32)</f>
        <v>3163.9310924369752</v>
      </c>
      <c r="D33" s="458">
        <f t="shared" ca="1" si="19"/>
        <v>20530.422241529344</v>
      </c>
      <c r="E33" s="458">
        <f t="shared" si="19"/>
        <v>657.71787951590466</v>
      </c>
      <c r="F33" s="458">
        <f t="shared" ca="1" si="19"/>
        <v>10616.191030927401</v>
      </c>
      <c r="G33" s="458">
        <f t="shared" si="19"/>
        <v>37641.725010677896</v>
      </c>
      <c r="H33" s="458">
        <f t="shared" si="19"/>
        <v>5661.42458027662</v>
      </c>
      <c r="I33" s="458">
        <f t="shared" si="19"/>
        <v>0</v>
      </c>
      <c r="J33" s="458">
        <f t="shared" si="19"/>
        <v>183.14074885965007</v>
      </c>
      <c r="K33" s="458">
        <f t="shared" si="19"/>
        <v>0</v>
      </c>
      <c r="L33" s="458">
        <f t="shared" ca="1" si="19"/>
        <v>0</v>
      </c>
      <c r="M33" s="458">
        <f t="shared" si="19"/>
        <v>0</v>
      </c>
      <c r="N33" s="458">
        <f t="shared" ca="1" si="19"/>
        <v>0</v>
      </c>
      <c r="O33" s="458">
        <f t="shared" si="19"/>
        <v>0</v>
      </c>
      <c r="P33" s="458">
        <f t="shared" si="19"/>
        <v>0</v>
      </c>
      <c r="Q33" s="458">
        <f t="shared" ca="1" si="19"/>
        <v>87892.109691534439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6623.8448501544772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3690</v>
      </c>
      <c r="C8" s="1021">
        <f>'SEAP template'!C76</f>
        <v>9319.5</v>
      </c>
      <c r="D8" s="1021">
        <f>'SEAP template'!D76</f>
        <v>10964.117647058822</v>
      </c>
      <c r="E8" s="1021">
        <f>'SEAP template'!E76</f>
        <v>0</v>
      </c>
      <c r="F8" s="1021">
        <f>'SEAP template'!F76</f>
        <v>0</v>
      </c>
      <c r="G8" s="1021">
        <f>'SEAP template'!G76</f>
        <v>0</v>
      </c>
      <c r="H8" s="1021">
        <f>'SEAP template'!H76</f>
        <v>0</v>
      </c>
      <c r="I8" s="1021">
        <f>'SEAP template'!I76</f>
        <v>0</v>
      </c>
      <c r="J8" s="1021">
        <f>'SEAP template'!J76</f>
        <v>4341.1764705882342</v>
      </c>
      <c r="K8" s="1021">
        <f>'SEAP template'!K76</f>
        <v>0</v>
      </c>
      <c r="L8" s="1021">
        <f>'SEAP template'!L76</f>
        <v>0</v>
      </c>
      <c r="M8" s="1021">
        <f>'SEAP template'!M76</f>
        <v>0</v>
      </c>
      <c r="N8" s="1021">
        <f>'SEAP template'!N76</f>
        <v>0</v>
      </c>
      <c r="O8" s="1021">
        <f>'SEAP template'!O76</f>
        <v>0</v>
      </c>
      <c r="P8" s="1022">
        <f>'SEAP template'!Q76</f>
        <v>2214.7517647058821</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10313.844850154477</v>
      </c>
      <c r="C10" s="1023">
        <f>SUM(C4:C9)</f>
        <v>9319.5</v>
      </c>
      <c r="D10" s="1023">
        <f t="shared" ref="D10:H10" si="0">SUM(D8:D9)</f>
        <v>10964.117647058822</v>
      </c>
      <c r="E10" s="1023">
        <f t="shared" si="0"/>
        <v>0</v>
      </c>
      <c r="F10" s="1023">
        <f t="shared" si="0"/>
        <v>0</v>
      </c>
      <c r="G10" s="1023">
        <f t="shared" si="0"/>
        <v>0</v>
      </c>
      <c r="H10" s="1023">
        <f t="shared" si="0"/>
        <v>0</v>
      </c>
      <c r="I10" s="1023">
        <f>SUM(I8:I9)</f>
        <v>0</v>
      </c>
      <c r="J10" s="1023">
        <f>SUM(J8:J9)</f>
        <v>4341.1764705882342</v>
      </c>
      <c r="K10" s="1023">
        <f t="shared" ref="K10:L10" si="1">SUM(K8:K9)</f>
        <v>0</v>
      </c>
      <c r="L10" s="1023">
        <f t="shared" si="1"/>
        <v>0</v>
      </c>
      <c r="M10" s="1023">
        <f>SUM(M8:M9)</f>
        <v>0</v>
      </c>
      <c r="N10" s="1023">
        <f>SUM(N8:N9)</f>
        <v>0</v>
      </c>
      <c r="O10" s="1023">
        <f>SUM(O8:O9)</f>
        <v>0</v>
      </c>
      <c r="P10" s="1023">
        <f>SUM(P8:P9)</f>
        <v>2214.7517647058821</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0.18039619358482231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5271.4285714285716</v>
      </c>
      <c r="C17" s="1024">
        <f>'SEAP template'!C87</f>
        <v>13313.571428571431</v>
      </c>
      <c r="D17" s="1022">
        <f>'SEAP template'!D87</f>
        <v>15663.025210084035</v>
      </c>
      <c r="E17" s="1022">
        <f>'SEAP template'!E87</f>
        <v>0</v>
      </c>
      <c r="F17" s="1022">
        <f>'SEAP template'!F87</f>
        <v>0</v>
      </c>
      <c r="G17" s="1022">
        <f>'SEAP template'!G87</f>
        <v>0</v>
      </c>
      <c r="H17" s="1022">
        <f>'SEAP template'!H87</f>
        <v>0</v>
      </c>
      <c r="I17" s="1022">
        <f>'SEAP template'!I87</f>
        <v>0</v>
      </c>
      <c r="J17" s="1022">
        <f>'SEAP template'!J87</f>
        <v>6201.680672268908</v>
      </c>
      <c r="K17" s="1022">
        <f>'SEAP template'!K87</f>
        <v>0</v>
      </c>
      <c r="L17" s="1022">
        <f>'SEAP template'!L87</f>
        <v>0</v>
      </c>
      <c r="M17" s="1022">
        <f>'SEAP template'!M87</f>
        <v>0</v>
      </c>
      <c r="N17" s="1022">
        <f>'SEAP template'!N87</f>
        <v>0</v>
      </c>
      <c r="O17" s="1022">
        <f>'SEAP template'!O87</f>
        <v>0</v>
      </c>
      <c r="P17" s="1022">
        <f>'SEAP template'!Q87</f>
        <v>3163.9310924369752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5271.4285714285716</v>
      </c>
      <c r="C20" s="1023">
        <f>SUM(C17:C19)</f>
        <v>13313.571428571431</v>
      </c>
      <c r="D20" s="1023">
        <f t="shared" ref="D20:H20" si="2">SUM(D17:D19)</f>
        <v>15663.025210084035</v>
      </c>
      <c r="E20" s="1023">
        <f t="shared" si="2"/>
        <v>0</v>
      </c>
      <c r="F20" s="1023">
        <f t="shared" si="2"/>
        <v>0</v>
      </c>
      <c r="G20" s="1023">
        <f t="shared" si="2"/>
        <v>0</v>
      </c>
      <c r="H20" s="1023">
        <f t="shared" si="2"/>
        <v>0</v>
      </c>
      <c r="I20" s="1023">
        <f>SUM(I17:I19)</f>
        <v>0</v>
      </c>
      <c r="J20" s="1023">
        <f>SUM(J17:J19)</f>
        <v>6201.680672268908</v>
      </c>
      <c r="K20" s="1023">
        <f t="shared" ref="K20:L20" si="3">SUM(K17:K19)</f>
        <v>0</v>
      </c>
      <c r="L20" s="1023">
        <f t="shared" si="3"/>
        <v>0</v>
      </c>
      <c r="M20" s="1023">
        <f>SUM(M17:M19)</f>
        <v>0</v>
      </c>
      <c r="N20" s="1023">
        <f>SUM(N17:N19)</f>
        <v>0</v>
      </c>
      <c r="O20" s="1023">
        <f>SUM(O17:O19)</f>
        <v>0</v>
      </c>
      <c r="P20" s="1023">
        <f>SUM(P17:P19)</f>
        <v>3163.9310924369752</v>
      </c>
    </row>
    <row r="21" spans="1:16">
      <c r="B21" s="881"/>
    </row>
    <row r="22" spans="1:16">
      <c r="A22" s="460" t="s">
        <v>786</v>
      </c>
      <c r="B22" s="776" t="s">
        <v>784</v>
      </c>
      <c r="C22" s="776">
        <f ca="1">'EF ele_warmte'!B22</f>
        <v>0.17024111339451034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0.18039619358482231</v>
      </c>
      <c r="C17" s="496">
        <f ca="1">'EF ele_warmte'!B22</f>
        <v>0.17024111339451034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0.18039619358482231</v>
      </c>
      <c r="C17" s="496">
        <f ca="1">'EF ele_warmte'!B22</f>
        <v>0.17024111339451034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0.18039619358482231</v>
      </c>
      <c r="C29" s="497">
        <f ca="1">'EF ele_warmte'!B22</f>
        <v>0.17024111339451034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7573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2070.98</v>
      </c>
      <c r="C14" s="326"/>
      <c r="D14" s="326"/>
      <c r="E14" s="326"/>
      <c r="F14" s="326"/>
    </row>
    <row r="15" spans="1:6">
      <c r="A15" s="1298" t="s">
        <v>183</v>
      </c>
      <c r="B15" s="1299">
        <v>11</v>
      </c>
      <c r="C15" s="326"/>
      <c r="D15" s="326"/>
      <c r="E15" s="326"/>
      <c r="F15" s="326"/>
    </row>
    <row r="16" spans="1:6">
      <c r="A16" s="1298" t="s">
        <v>6</v>
      </c>
      <c r="B16" s="1299">
        <v>548</v>
      </c>
      <c r="C16" s="326"/>
      <c r="D16" s="326"/>
      <c r="E16" s="326"/>
      <c r="F16" s="326"/>
    </row>
    <row r="17" spans="1:6">
      <c r="A17" s="1298" t="s">
        <v>7</v>
      </c>
      <c r="B17" s="1299">
        <v>775</v>
      </c>
      <c r="C17" s="326"/>
      <c r="D17" s="326"/>
      <c r="E17" s="326"/>
      <c r="F17" s="326"/>
    </row>
    <row r="18" spans="1:6">
      <c r="A18" s="1298" t="s">
        <v>8</v>
      </c>
      <c r="B18" s="1299">
        <v>1061</v>
      </c>
      <c r="C18" s="326"/>
      <c r="D18" s="326"/>
      <c r="E18" s="326"/>
      <c r="F18" s="326"/>
    </row>
    <row r="19" spans="1:6">
      <c r="A19" s="1298" t="s">
        <v>9</v>
      </c>
      <c r="B19" s="1299">
        <v>973</v>
      </c>
      <c r="C19" s="326"/>
      <c r="D19" s="326"/>
      <c r="E19" s="326"/>
      <c r="F19" s="326"/>
    </row>
    <row r="20" spans="1:6">
      <c r="A20" s="1298" t="s">
        <v>10</v>
      </c>
      <c r="B20" s="1299">
        <v>490</v>
      </c>
      <c r="C20" s="326"/>
      <c r="D20" s="326"/>
      <c r="E20" s="326"/>
      <c r="F20" s="326"/>
    </row>
    <row r="21" spans="1:6">
      <c r="A21" s="1298" t="s">
        <v>11</v>
      </c>
      <c r="B21" s="1299">
        <v>4692</v>
      </c>
      <c r="C21" s="326"/>
      <c r="D21" s="326"/>
      <c r="E21" s="326"/>
      <c r="F21" s="326"/>
    </row>
    <row r="22" spans="1:6">
      <c r="A22" s="1298" t="s">
        <v>12</v>
      </c>
      <c r="B22" s="1299">
        <v>17675</v>
      </c>
      <c r="C22" s="326"/>
      <c r="D22" s="326"/>
      <c r="E22" s="326"/>
      <c r="F22" s="326"/>
    </row>
    <row r="23" spans="1:6">
      <c r="A23" s="1298" t="s">
        <v>13</v>
      </c>
      <c r="B23" s="1299">
        <v>216</v>
      </c>
      <c r="C23" s="326"/>
      <c r="D23" s="326"/>
      <c r="E23" s="326"/>
      <c r="F23" s="326"/>
    </row>
    <row r="24" spans="1:6">
      <c r="A24" s="1298" t="s">
        <v>14</v>
      </c>
      <c r="B24" s="1299">
        <v>3</v>
      </c>
      <c r="C24" s="326"/>
      <c r="D24" s="326"/>
      <c r="E24" s="326"/>
      <c r="F24" s="326"/>
    </row>
    <row r="25" spans="1:6">
      <c r="A25" s="1298" t="s">
        <v>15</v>
      </c>
      <c r="B25" s="1299">
        <v>1050</v>
      </c>
      <c r="C25" s="326"/>
      <c r="D25" s="326"/>
      <c r="E25" s="326"/>
      <c r="F25" s="326"/>
    </row>
    <row r="26" spans="1:6">
      <c r="A26" s="1298" t="s">
        <v>16</v>
      </c>
      <c r="B26" s="1299">
        <v>269</v>
      </c>
      <c r="C26" s="326"/>
      <c r="D26" s="326"/>
      <c r="E26" s="326"/>
      <c r="F26" s="326"/>
    </row>
    <row r="27" spans="1:6">
      <c r="A27" s="1298" t="s">
        <v>17</v>
      </c>
      <c r="B27" s="1299">
        <v>1</v>
      </c>
      <c r="C27" s="326"/>
      <c r="D27" s="326"/>
      <c r="E27" s="326"/>
      <c r="F27" s="326"/>
    </row>
    <row r="28" spans="1:6" s="43" customFormat="1">
      <c r="A28" s="1300" t="s">
        <v>18</v>
      </c>
      <c r="B28" s="1301">
        <v>165843</v>
      </c>
      <c r="C28" s="332"/>
      <c r="D28" s="332"/>
      <c r="E28" s="332"/>
      <c r="F28" s="332"/>
    </row>
    <row r="29" spans="1:6">
      <c r="A29" s="1300" t="s">
        <v>695</v>
      </c>
      <c r="B29" s="1301">
        <v>226</v>
      </c>
      <c r="C29" s="332"/>
      <c r="D29" s="332"/>
      <c r="E29" s="332"/>
      <c r="F29" s="332"/>
    </row>
    <row r="30" spans="1:6">
      <c r="A30" s="1293" t="s">
        <v>696</v>
      </c>
      <c r="B30" s="1302">
        <v>64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4244.7979999999998</v>
      </c>
    </row>
    <row r="39" spans="1:6">
      <c r="A39" s="1298" t="s">
        <v>29</v>
      </c>
      <c r="B39" s="1298" t="s">
        <v>30</v>
      </c>
      <c r="C39" s="1299">
        <v>5463</v>
      </c>
      <c r="D39" s="1299">
        <v>82054259.409999996</v>
      </c>
      <c r="E39" s="1299">
        <v>7785</v>
      </c>
      <c r="F39" s="1299">
        <v>27142215.239999998</v>
      </c>
    </row>
    <row r="40" spans="1:6">
      <c r="A40" s="1298" t="s">
        <v>29</v>
      </c>
      <c r="B40" s="1298" t="s">
        <v>28</v>
      </c>
      <c r="C40" s="1299">
        <v>0</v>
      </c>
      <c r="D40" s="1299">
        <v>0</v>
      </c>
      <c r="E40" s="1299">
        <v>0</v>
      </c>
      <c r="F40" s="1299">
        <v>0</v>
      </c>
    </row>
    <row r="41" spans="1:6">
      <c r="A41" s="1298" t="s">
        <v>31</v>
      </c>
      <c r="B41" s="1298" t="s">
        <v>32</v>
      </c>
      <c r="C41" s="1299">
        <v>84</v>
      </c>
      <c r="D41" s="1299">
        <v>1635072.2050000001</v>
      </c>
      <c r="E41" s="1299">
        <v>199</v>
      </c>
      <c r="F41" s="1299">
        <v>1468328.007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40942.305</v>
      </c>
      <c r="E44" s="1299">
        <v>16</v>
      </c>
      <c r="F44" s="1299">
        <v>365231.24</v>
      </c>
    </row>
    <row r="45" spans="1:6">
      <c r="A45" s="1298" t="s">
        <v>31</v>
      </c>
      <c r="B45" s="1298" t="s">
        <v>36</v>
      </c>
      <c r="C45" s="1299">
        <v>0</v>
      </c>
      <c r="D45" s="1299">
        <v>0</v>
      </c>
      <c r="E45" s="1299">
        <v>6</v>
      </c>
      <c r="F45" s="1299">
        <v>77887.543000000005</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35</v>
      </c>
      <c r="D48" s="1299">
        <v>720483.6</v>
      </c>
      <c r="E48" s="1299">
        <v>28</v>
      </c>
      <c r="F48" s="1299">
        <v>352004.29800000001</v>
      </c>
    </row>
    <row r="49" spans="1:6">
      <c r="A49" s="1298" t="s">
        <v>31</v>
      </c>
      <c r="B49" s="1298" t="s">
        <v>39</v>
      </c>
      <c r="C49" s="1299">
        <v>0</v>
      </c>
      <c r="D49" s="1299">
        <v>0</v>
      </c>
      <c r="E49" s="1299">
        <v>0</v>
      </c>
      <c r="F49" s="1299">
        <v>0</v>
      </c>
    </row>
    <row r="50" spans="1:6">
      <c r="A50" s="1298" t="s">
        <v>31</v>
      </c>
      <c r="B50" s="1298" t="s">
        <v>40</v>
      </c>
      <c r="C50" s="1299">
        <v>4</v>
      </c>
      <c r="D50" s="1299">
        <v>490882.712</v>
      </c>
      <c r="E50" s="1299">
        <v>11</v>
      </c>
      <c r="F50" s="1299">
        <v>461956.58899999998</v>
      </c>
    </row>
    <row r="51" spans="1:6">
      <c r="A51" s="1298" t="s">
        <v>41</v>
      </c>
      <c r="B51" s="1298" t="s">
        <v>42</v>
      </c>
      <c r="C51" s="1299">
        <v>24</v>
      </c>
      <c r="D51" s="1299">
        <v>36348890.420000002</v>
      </c>
      <c r="E51" s="1299">
        <v>69</v>
      </c>
      <c r="F51" s="1299">
        <v>1148631.821</v>
      </c>
    </row>
    <row r="52" spans="1:6">
      <c r="A52" s="1298" t="s">
        <v>41</v>
      </c>
      <c r="B52" s="1298" t="s">
        <v>28</v>
      </c>
      <c r="C52" s="1299">
        <v>9</v>
      </c>
      <c r="D52" s="1299">
        <v>190329.85200000001</v>
      </c>
      <c r="E52" s="1299">
        <v>14</v>
      </c>
      <c r="F52" s="1299">
        <v>252898.77100000001</v>
      </c>
    </row>
    <row r="53" spans="1:6">
      <c r="A53" s="1298" t="s">
        <v>43</v>
      </c>
      <c r="B53" s="1298" t="s">
        <v>44</v>
      </c>
      <c r="C53" s="1299">
        <v>133</v>
      </c>
      <c r="D53" s="1299">
        <v>2214876.8560000001</v>
      </c>
      <c r="E53" s="1299">
        <v>366</v>
      </c>
      <c r="F53" s="1299">
        <v>2000921.7879999999</v>
      </c>
    </row>
    <row r="54" spans="1:6">
      <c r="A54" s="1298" t="s">
        <v>45</v>
      </c>
      <c r="B54" s="1298" t="s">
        <v>46</v>
      </c>
      <c r="C54" s="1299">
        <v>0</v>
      </c>
      <c r="D54" s="1299">
        <v>0</v>
      </c>
      <c r="E54" s="1299">
        <v>1</v>
      </c>
      <c r="F54" s="1299">
        <v>1049279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41</v>
      </c>
      <c r="D57" s="1299">
        <v>1139246.048</v>
      </c>
      <c r="E57" s="1299">
        <v>71</v>
      </c>
      <c r="F57" s="1299">
        <v>1431530.632</v>
      </c>
    </row>
    <row r="58" spans="1:6">
      <c r="A58" s="1298" t="s">
        <v>48</v>
      </c>
      <c r="B58" s="1298" t="s">
        <v>50</v>
      </c>
      <c r="C58" s="1299">
        <v>27</v>
      </c>
      <c r="D58" s="1299">
        <v>1794240.81</v>
      </c>
      <c r="E58" s="1299">
        <v>37</v>
      </c>
      <c r="F58" s="1299">
        <v>736716.26399999997</v>
      </c>
    </row>
    <row r="59" spans="1:6">
      <c r="A59" s="1298" t="s">
        <v>48</v>
      </c>
      <c r="B59" s="1298" t="s">
        <v>51</v>
      </c>
      <c r="C59" s="1299">
        <v>92</v>
      </c>
      <c r="D59" s="1299">
        <v>3594917.767</v>
      </c>
      <c r="E59" s="1299">
        <v>183</v>
      </c>
      <c r="F59" s="1299">
        <v>5057896.6330000004</v>
      </c>
    </row>
    <row r="60" spans="1:6">
      <c r="A60" s="1298" t="s">
        <v>48</v>
      </c>
      <c r="B60" s="1298" t="s">
        <v>52</v>
      </c>
      <c r="C60" s="1299">
        <v>57</v>
      </c>
      <c r="D60" s="1299">
        <v>1981228.666</v>
      </c>
      <c r="E60" s="1299">
        <v>70</v>
      </c>
      <c r="F60" s="1299">
        <v>1932083.0619999999</v>
      </c>
    </row>
    <row r="61" spans="1:6">
      <c r="A61" s="1298" t="s">
        <v>48</v>
      </c>
      <c r="B61" s="1298" t="s">
        <v>53</v>
      </c>
      <c r="C61" s="1299">
        <v>142</v>
      </c>
      <c r="D61" s="1299">
        <v>5842794.1490000002</v>
      </c>
      <c r="E61" s="1299">
        <v>231</v>
      </c>
      <c r="F61" s="1299">
        <v>1870896.1040000001</v>
      </c>
    </row>
    <row r="62" spans="1:6">
      <c r="A62" s="1298" t="s">
        <v>48</v>
      </c>
      <c r="B62" s="1298" t="s">
        <v>54</v>
      </c>
      <c r="C62" s="1299">
        <v>7</v>
      </c>
      <c r="D62" s="1299">
        <v>1026889.732</v>
      </c>
      <c r="E62" s="1299">
        <v>13</v>
      </c>
      <c r="F62" s="1299">
        <v>224908.93100000001</v>
      </c>
    </row>
    <row r="63" spans="1:6">
      <c r="A63" s="1298" t="s">
        <v>48</v>
      </c>
      <c r="B63" s="1298" t="s">
        <v>28</v>
      </c>
      <c r="C63" s="1299">
        <v>96</v>
      </c>
      <c r="D63" s="1299">
        <v>2603970.344</v>
      </c>
      <c r="E63" s="1299">
        <v>110</v>
      </c>
      <c r="F63" s="1299">
        <v>1497477.4979999999</v>
      </c>
    </row>
    <row r="64" spans="1:6">
      <c r="A64" s="1298" t="s">
        <v>55</v>
      </c>
      <c r="B64" s="1298" t="s">
        <v>56</v>
      </c>
      <c r="C64" s="1299">
        <v>0</v>
      </c>
      <c r="D64" s="1299">
        <v>0</v>
      </c>
      <c r="E64" s="1299">
        <v>0</v>
      </c>
      <c r="F64" s="1299">
        <v>0</v>
      </c>
    </row>
    <row r="65" spans="1:6">
      <c r="A65" s="1298" t="s">
        <v>55</v>
      </c>
      <c r="B65" s="1298" t="s">
        <v>28</v>
      </c>
      <c r="C65" s="1299">
        <v>4</v>
      </c>
      <c r="D65" s="1299">
        <v>63729.580999999998</v>
      </c>
      <c r="E65" s="1299">
        <v>6</v>
      </c>
      <c r="F65" s="1299">
        <v>65122.353000000003</v>
      </c>
    </row>
    <row r="66" spans="1:6">
      <c r="A66" s="1298" t="s">
        <v>55</v>
      </c>
      <c r="B66" s="1298" t="s">
        <v>57</v>
      </c>
      <c r="C66" s="1299">
        <v>0</v>
      </c>
      <c r="D66" s="1299">
        <v>0</v>
      </c>
      <c r="E66" s="1299">
        <v>9</v>
      </c>
      <c r="F66" s="1299">
        <v>368854.08399999997</v>
      </c>
    </row>
    <row r="67" spans="1:6">
      <c r="A67" s="1300" t="s">
        <v>55</v>
      </c>
      <c r="B67" s="1300" t="s">
        <v>58</v>
      </c>
      <c r="C67" s="1299">
        <v>0</v>
      </c>
      <c r="D67" s="1299">
        <v>0</v>
      </c>
      <c r="E67" s="1299">
        <v>0</v>
      </c>
      <c r="F67" s="1299">
        <v>0</v>
      </c>
    </row>
    <row r="68" spans="1:6">
      <c r="A68" s="1293" t="s">
        <v>55</v>
      </c>
      <c r="B68" s="1293" t="s">
        <v>59</v>
      </c>
      <c r="C68" s="1302">
        <v>14</v>
      </c>
      <c r="D68" s="1302">
        <v>342567.84899999999</v>
      </c>
      <c r="E68" s="1302">
        <v>26</v>
      </c>
      <c r="F68" s="1302">
        <v>589845.9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28398467</v>
      </c>
      <c r="E73" s="446"/>
      <c r="F73" s="326"/>
    </row>
    <row r="74" spans="1:6">
      <c r="A74" s="1298" t="s">
        <v>63</v>
      </c>
      <c r="B74" s="1298" t="s">
        <v>639</v>
      </c>
      <c r="C74" s="1312" t="s">
        <v>641</v>
      </c>
      <c r="D74" s="1313">
        <v>5050478.5</v>
      </c>
      <c r="E74" s="446"/>
      <c r="F74" s="326"/>
    </row>
    <row r="75" spans="1:6">
      <c r="A75" s="1298" t="s">
        <v>64</v>
      </c>
      <c r="B75" s="1298" t="s">
        <v>638</v>
      </c>
      <c r="C75" s="1312" t="s">
        <v>642</v>
      </c>
      <c r="D75" s="1313">
        <v>38219263</v>
      </c>
      <c r="E75" s="446"/>
      <c r="F75" s="326"/>
    </row>
    <row r="76" spans="1:6">
      <c r="A76" s="1298" t="s">
        <v>64</v>
      </c>
      <c r="B76" s="1298" t="s">
        <v>639</v>
      </c>
      <c r="C76" s="1312" t="s">
        <v>643</v>
      </c>
      <c r="D76" s="1313">
        <v>3375860.5</v>
      </c>
      <c r="E76" s="446"/>
      <c r="F76" s="326"/>
    </row>
    <row r="77" spans="1:6">
      <c r="A77" s="1298" t="s">
        <v>65</v>
      </c>
      <c r="B77" s="1298" t="s">
        <v>638</v>
      </c>
      <c r="C77" s="1312" t="s">
        <v>644</v>
      </c>
      <c r="D77" s="1313">
        <v>71550735</v>
      </c>
      <c r="E77" s="446"/>
      <c r="F77" s="326"/>
    </row>
    <row r="78" spans="1:6">
      <c r="A78" s="1293" t="s">
        <v>65</v>
      </c>
      <c r="B78" s="1293" t="s">
        <v>639</v>
      </c>
      <c r="C78" s="1293" t="s">
        <v>645</v>
      </c>
      <c r="D78" s="1314">
        <v>18386998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386459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5073.4225220279577</v>
      </c>
      <c r="C91" s="326"/>
      <c r="D91" s="326"/>
      <c r="E91" s="326"/>
      <c r="F91" s="326"/>
    </row>
    <row r="92" spans="1:6">
      <c r="A92" s="1293" t="s">
        <v>68</v>
      </c>
      <c r="B92" s="1294">
        <v>1550.4223281265195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3370</v>
      </c>
      <c r="C97" s="326"/>
      <c r="D97" s="326"/>
      <c r="E97" s="326"/>
      <c r="F97" s="326"/>
    </row>
    <row r="98" spans="1:6">
      <c r="A98" s="1298" t="s">
        <v>71</v>
      </c>
      <c r="B98" s="1299">
        <v>1</v>
      </c>
      <c r="C98" s="326"/>
      <c r="D98" s="326"/>
      <c r="E98" s="326"/>
      <c r="F98" s="326"/>
    </row>
    <row r="99" spans="1:6">
      <c r="A99" s="1298" t="s">
        <v>72</v>
      </c>
      <c r="B99" s="1299">
        <v>134</v>
      </c>
      <c r="C99" s="326"/>
      <c r="D99" s="326"/>
      <c r="E99" s="326"/>
      <c r="F99" s="326"/>
    </row>
    <row r="100" spans="1:6">
      <c r="A100" s="1298" t="s">
        <v>73</v>
      </c>
      <c r="B100" s="1299">
        <v>520</v>
      </c>
      <c r="C100" s="326"/>
      <c r="D100" s="326"/>
      <c r="E100" s="326"/>
      <c r="F100" s="326"/>
    </row>
    <row r="101" spans="1:6">
      <c r="A101" s="1298" t="s">
        <v>74</v>
      </c>
      <c r="B101" s="1299">
        <v>149</v>
      </c>
      <c r="C101" s="326"/>
      <c r="D101" s="326"/>
      <c r="E101" s="326"/>
      <c r="F101" s="326"/>
    </row>
    <row r="102" spans="1:6">
      <c r="A102" s="1298" t="s">
        <v>75</v>
      </c>
      <c r="B102" s="1299">
        <v>177</v>
      </c>
      <c r="C102" s="326"/>
      <c r="D102" s="326"/>
      <c r="E102" s="326"/>
      <c r="F102" s="326"/>
    </row>
    <row r="103" spans="1:6">
      <c r="A103" s="1298" t="s">
        <v>76</v>
      </c>
      <c r="B103" s="1299">
        <v>199</v>
      </c>
      <c r="C103" s="326"/>
      <c r="D103" s="326"/>
      <c r="E103" s="326"/>
      <c r="F103" s="326"/>
    </row>
    <row r="104" spans="1:6">
      <c r="A104" s="1298" t="s">
        <v>77</v>
      </c>
      <c r="B104" s="1299">
        <v>1749</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37</v>
      </c>
      <c r="C123" s="1299">
        <v>27</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136</v>
      </c>
      <c r="C129" s="326"/>
      <c r="D129" s="326"/>
      <c r="E129" s="326"/>
      <c r="F129" s="326"/>
    </row>
    <row r="130" spans="1:6">
      <c r="A130" s="1298" t="s">
        <v>289</v>
      </c>
      <c r="B130" s="1299">
        <v>3</v>
      </c>
      <c r="C130" s="326"/>
      <c r="D130" s="326"/>
      <c r="E130" s="326"/>
      <c r="F130" s="326"/>
    </row>
    <row r="131" spans="1:6">
      <c r="A131" s="1298" t="s">
        <v>290</v>
      </c>
      <c r="B131" s="1299">
        <v>2</v>
      </c>
      <c r="C131" s="326"/>
      <c r="D131" s="326"/>
      <c r="E131" s="326"/>
      <c r="F131" s="326"/>
    </row>
    <row r="132" spans="1:6">
      <c r="A132" s="1293" t="s">
        <v>291</v>
      </c>
      <c r="B132" s="1294">
        <v>44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52315.721966013145</v>
      </c>
      <c r="C3" s="43" t="s">
        <v>169</v>
      </c>
      <c r="D3" s="43"/>
      <c r="E3" s="154"/>
      <c r="F3" s="43"/>
      <c r="G3" s="43"/>
      <c r="H3" s="43"/>
      <c r="I3" s="43"/>
      <c r="J3" s="43"/>
      <c r="K3" s="96"/>
    </row>
    <row r="4" spans="1:11">
      <c r="A4" s="354" t="s">
        <v>170</v>
      </c>
      <c r="B4" s="49">
        <f>IF(ISERROR('SEAP template'!B78+'SEAP template'!C78),0,'SEAP template'!B78+'SEAP template'!C78)</f>
        <v>19633.344850154477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2214.7517647058821</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0.18039619358482231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3163.9310924369752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18585.000000000004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0.17024111339451034</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1049.279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1049.279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0.18039619358482231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189.28593760848878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27142.215239999998</v>
      </c>
      <c r="C5" s="17">
        <f>IF(ISERROR('Eigen informatie GS &amp; warmtenet'!B59),0,'Eigen informatie GS &amp; warmtenet'!B59)</f>
        <v>0</v>
      </c>
      <c r="D5" s="30">
        <f>(SUM(HH_hh_gas_kWh,HH_rest_gas_kWh)/1000)*0.902</f>
        <v>74012.941987819999</v>
      </c>
      <c r="E5" s="17">
        <f>B32*B41</f>
        <v>1985.7333052515876</v>
      </c>
      <c r="F5" s="17">
        <f>B36*B45</f>
        <v>32012.667478583859</v>
      </c>
      <c r="G5" s="18"/>
      <c r="H5" s="17"/>
      <c r="I5" s="17"/>
      <c r="J5" s="17">
        <f>B35*B44+C35*C44</f>
        <v>127.88919519743024</v>
      </c>
      <c r="K5" s="17"/>
      <c r="L5" s="17"/>
      <c r="M5" s="17"/>
      <c r="N5" s="17">
        <f>B34*B43+C34*C43</f>
        <v>10115.310899983568</v>
      </c>
      <c r="O5" s="17">
        <f>B52*B53*B54</f>
        <v>325.36914797947321</v>
      </c>
      <c r="P5" s="17">
        <f>B60*B61*B62/1000-B60*B61*B62/1000/B63</f>
        <v>853.25070392248676</v>
      </c>
    </row>
    <row r="6" spans="1:16">
      <c r="A6" s="16" t="s">
        <v>604</v>
      </c>
      <c r="B6" s="778">
        <f>kWh_PV_kleiner_dan_10kW</f>
        <v>5073.4225220279577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32215.637762027956</v>
      </c>
      <c r="C8" s="21">
        <f>C5</f>
        <v>0</v>
      </c>
      <c r="D8" s="21">
        <f>D5</f>
        <v>74012.941987819999</v>
      </c>
      <c r="E8" s="21">
        <f>E5</f>
        <v>1985.7333052515876</v>
      </c>
      <c r="F8" s="21">
        <f>F5</f>
        <v>32012.667478583859</v>
      </c>
      <c r="G8" s="21"/>
      <c r="H8" s="21"/>
      <c r="I8" s="21"/>
      <c r="J8" s="21">
        <f>J5</f>
        <v>127.88919519743024</v>
      </c>
      <c r="K8" s="21"/>
      <c r="L8" s="21">
        <f>L5</f>
        <v>0</v>
      </c>
      <c r="M8" s="21">
        <f>M5</f>
        <v>0</v>
      </c>
      <c r="N8" s="21">
        <f>N5</f>
        <v>10115.310899983568</v>
      </c>
      <c r="O8" s="21">
        <f>O5</f>
        <v>325.36914797947321</v>
      </c>
      <c r="P8" s="21">
        <f>P5</f>
        <v>853.25070392248676</v>
      </c>
    </row>
    <row r="9" spans="1:16">
      <c r="B9" s="19"/>
      <c r="C9" s="19"/>
      <c r="D9" s="256"/>
      <c r="E9" s="19"/>
      <c r="F9" s="19"/>
      <c r="G9" s="19"/>
      <c r="H9" s="19"/>
      <c r="I9" s="19"/>
      <c r="J9" s="19"/>
      <c r="K9" s="19"/>
      <c r="L9" s="19"/>
      <c r="M9" s="19"/>
      <c r="N9" s="19"/>
      <c r="O9" s="19"/>
      <c r="P9" s="19"/>
    </row>
    <row r="10" spans="1:16">
      <c r="A10" s="24" t="s">
        <v>213</v>
      </c>
      <c r="B10" s="25">
        <f ca="1">'EF ele_warmte'!B12</f>
        <v>0.18039619358482231</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5811.5784261773069</v>
      </c>
      <c r="C12" s="23">
        <f ca="1">C10*C8</f>
        <v>0</v>
      </c>
      <c r="D12" s="23">
        <f>D8*D10</f>
        <v>14950.614281539642</v>
      </c>
      <c r="E12" s="23">
        <f>E10*E8</f>
        <v>450.76146029211037</v>
      </c>
      <c r="F12" s="23">
        <f>F10*F8</f>
        <v>8547.3822167818907</v>
      </c>
      <c r="G12" s="23"/>
      <c r="H12" s="23"/>
      <c r="I12" s="23"/>
      <c r="J12" s="23">
        <f>J10*J8</f>
        <v>45.272775099890303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7573</v>
      </c>
      <c r="C26" s="36"/>
      <c r="D26" s="226"/>
    </row>
    <row r="27" spans="1:7" s="15" customFormat="1">
      <c r="A27" s="228" t="s">
        <v>806</v>
      </c>
      <c r="B27" s="37">
        <f>SUM(HH_hh_gas_aantal,HH_rest_gas_aantal)</f>
        <v>5463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5189.8500000000004</v>
      </c>
      <c r="C31" s="166" t="s">
        <v>110</v>
      </c>
      <c r="D31" s="231"/>
      <c r="G31" s="15"/>
    </row>
    <row r="32" spans="1:7">
      <c r="A32" s="169" t="s">
        <v>72</v>
      </c>
      <c r="B32" s="166">
        <f>IF((B21*($B$26-($B$27-0.05*$B$27)-$B$60))&lt;0,0,B21*($B$26-($B$27-0.05*$B$27)-$B$60))</f>
        <v>36.54708867324176</v>
      </c>
      <c r="C32" s="166" t="s">
        <v>110</v>
      </c>
      <c r="D32" s="231"/>
      <c r="G32" s="15"/>
    </row>
    <row r="33" spans="1:7">
      <c r="A33" s="169" t="s">
        <v>73</v>
      </c>
      <c r="B33" s="166">
        <f>IF((B22*($B$26-($B$27-0.05*$B$27)-$B$60))&lt;0,0,B22*($B$26-($B$27-0.05*$B$27)-$B$60))</f>
        <v>593.45233774986878</v>
      </c>
      <c r="C33" s="166" t="s">
        <v>110</v>
      </c>
      <c r="D33" s="231"/>
      <c r="G33" s="15"/>
    </row>
    <row r="34" spans="1:7">
      <c r="A34" s="169" t="s">
        <v>74</v>
      </c>
      <c r="B34" s="166">
        <f>IF((B24*($B$26-($B$27-0.05*$B$27)-$B$60))&lt;0,0,B24*($B$26-($B$27-0.05*$B$27)-$B$60))</f>
        <v>113.77275500125241</v>
      </c>
      <c r="C34" s="166">
        <f>B26*C24</f>
        <v>1551.7526821549591</v>
      </c>
      <c r="D34" s="231"/>
      <c r="G34" s="15"/>
    </row>
    <row r="35" spans="1:7">
      <c r="A35" s="169" t="s">
        <v>76</v>
      </c>
      <c r="B35" s="166">
        <f>IF((B19*($B$26-($B$27-0.05*$B$27)-$B$60))&lt;0,0,B19*($B$26-($B$27-0.05*$B$27)-$B$60))</f>
        <v>15.886932315613908</v>
      </c>
      <c r="C35" s="166">
        <f>B35/2</f>
        <v>7.9434661578069541</v>
      </c>
      <c r="D35" s="232"/>
      <c r="G35" s="15"/>
    </row>
    <row r="36" spans="1:7">
      <c r="A36" s="169" t="s">
        <v>77</v>
      </c>
      <c r="B36" s="166">
        <f>IF((B18*($B$26-($B$27-0.05*$B$27)-$B$60))&lt;0,0,B18*($B$26-($B$27-0.05*$B$27)-$B$60))</f>
        <v>1542.4908862600223</v>
      </c>
      <c r="C36" s="166" t="s">
        <v>110</v>
      </c>
      <c r="D36" s="232"/>
      <c r="G36" s="15"/>
    </row>
    <row r="37" spans="1:7">
      <c r="A37" s="169" t="s">
        <v>78</v>
      </c>
      <c r="B37" s="166">
        <f>B60</f>
        <v>81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12751.509124000002</v>
      </c>
      <c r="C5" s="17">
        <f>IF(ISERROR('Eigen informatie GS &amp; warmtenet'!B60),0,'Eigen informatie GS &amp; warmtenet'!B60)</f>
        <v>0</v>
      </c>
      <c r="D5" s="30">
        <f>SUM(D6:D12)</f>
        <v>16220.925339432</v>
      </c>
      <c r="E5" s="17">
        <f>SUM(E6:E12)</f>
        <v>200.19308909826231</v>
      </c>
      <c r="F5" s="17">
        <f>SUM(F6:F12)</f>
        <v>1425.6960872947707</v>
      </c>
      <c r="G5" s="18"/>
      <c r="H5" s="17"/>
      <c r="I5" s="17"/>
      <c r="J5" s="17">
        <f>SUM(J6:J12)</f>
        <v>2.7171578601647015E-2</v>
      </c>
      <c r="K5" s="17"/>
      <c r="L5" s="17"/>
      <c r="M5" s="17"/>
      <c r="N5" s="17">
        <f>SUM(N6:N12)</f>
        <v>1069.9716143163485</v>
      </c>
      <c r="O5" s="17">
        <f>B38*B39*B40</f>
        <v>14.691782297523464</v>
      </c>
      <c r="P5" s="17">
        <f>B46*B47*B48/1000-B46*B47*B48/1000/B49</f>
        <v>105.07827661299004</v>
      </c>
      <c r="R5" s="32"/>
    </row>
    <row r="6" spans="1:18">
      <c r="A6" s="32" t="s">
        <v>53</v>
      </c>
      <c r="B6" s="37">
        <f>B26</f>
        <v>1870.8961040000002</v>
      </c>
      <c r="C6" s="33"/>
      <c r="D6" s="37">
        <f>IF(ISERROR(TER_kantoor_gas_kWh/1000),0,TER_kantoor_gas_kWh/1000)*0.902</f>
        <v>5270.200322398</v>
      </c>
      <c r="E6" s="33">
        <f>$C$26*'E Balans VL '!I12/100/3.6*1000000</f>
        <v>15.054501092338921</v>
      </c>
      <c r="F6" s="33">
        <f>$C$26*('E Balans VL '!L12+'E Balans VL '!N12)/100/3.6*1000000</f>
        <v>228.73672991090763</v>
      </c>
      <c r="G6" s="34"/>
      <c r="H6" s="33"/>
      <c r="I6" s="33"/>
      <c r="J6" s="33">
        <f>$C$26*('E Balans VL '!D12+'E Balans VL '!E12)/100/3.6*1000000</f>
        <v>0</v>
      </c>
      <c r="K6" s="33"/>
      <c r="L6" s="33"/>
      <c r="M6" s="33"/>
      <c r="N6" s="33">
        <f>$C$26*'E Balans VL '!Y12/100/3.6*1000000</f>
        <v>1.005514524238702</v>
      </c>
      <c r="O6" s="33"/>
      <c r="P6" s="33"/>
      <c r="R6" s="32"/>
    </row>
    <row r="7" spans="1:18">
      <c r="A7" s="32" t="s">
        <v>52</v>
      </c>
      <c r="B7" s="37">
        <f t="shared" ref="B7:B12" si="0">B27</f>
        <v>1932.0830619999999</v>
      </c>
      <c r="C7" s="33"/>
      <c r="D7" s="37">
        <f>IF(ISERROR(TER_horeca_gas_kWh/1000),0,TER_horeca_gas_kWh/1000)*0.902</f>
        <v>1787.068256732</v>
      </c>
      <c r="E7" s="33">
        <f>$C$27*'E Balans VL '!I9/100/3.6*1000000</f>
        <v>20.745827719329114</v>
      </c>
      <c r="F7" s="33">
        <f>$C$27*('E Balans VL '!L9+'E Balans VL '!N9)/100/3.6*1000000</f>
        <v>232.38274187014815</v>
      </c>
      <c r="G7" s="34"/>
      <c r="H7" s="33"/>
      <c r="I7" s="33"/>
      <c r="J7" s="33">
        <f>$C$27*('E Balans VL '!D9+'E Balans VL '!E9)/100/3.6*1000000</f>
        <v>0</v>
      </c>
      <c r="K7" s="33"/>
      <c r="L7" s="33"/>
      <c r="M7" s="33"/>
      <c r="N7" s="33">
        <f>$C$27*'E Balans VL '!Y9/100/3.6*1000000</f>
        <v>0.28965840977119012</v>
      </c>
      <c r="O7" s="33"/>
      <c r="P7" s="33"/>
      <c r="R7" s="32"/>
    </row>
    <row r="8" spans="1:18">
      <c r="A8" s="6" t="s">
        <v>51</v>
      </c>
      <c r="B8" s="37">
        <f t="shared" si="0"/>
        <v>5057.8966330000003</v>
      </c>
      <c r="C8" s="33"/>
      <c r="D8" s="37">
        <f>IF(ISERROR(TER_handel_gas_kWh/1000),0,TER_handel_gas_kWh/1000)*0.902</f>
        <v>3242.6158258340001</v>
      </c>
      <c r="E8" s="33">
        <f>$C$28*'E Balans VL '!I13/100/3.6*1000000</f>
        <v>135.73846102939095</v>
      </c>
      <c r="F8" s="33">
        <f>$C$28*('E Balans VL '!L13+'E Balans VL '!N13)/100/3.6*1000000</f>
        <v>482.67922718197286</v>
      </c>
      <c r="G8" s="34"/>
      <c r="H8" s="33"/>
      <c r="I8" s="33"/>
      <c r="J8" s="33">
        <f>$C$28*('E Balans VL '!D13+'E Balans VL '!E13)/100/3.6*1000000</f>
        <v>0</v>
      </c>
      <c r="K8" s="33"/>
      <c r="L8" s="33"/>
      <c r="M8" s="33"/>
      <c r="N8" s="33">
        <f>$C$28*'E Balans VL '!Y13/100/3.6*1000000</f>
        <v>2.0050077355556386</v>
      </c>
      <c r="O8" s="33"/>
      <c r="P8" s="33"/>
      <c r="R8" s="32"/>
    </row>
    <row r="9" spans="1:18">
      <c r="A9" s="32" t="s">
        <v>50</v>
      </c>
      <c r="B9" s="37">
        <f t="shared" si="0"/>
        <v>736.71626399999991</v>
      </c>
      <c r="C9" s="33"/>
      <c r="D9" s="37">
        <f>IF(ISERROR(TER_gezond_gas_kWh/1000),0,TER_gezond_gas_kWh/1000)*0.902</f>
        <v>1618.4052106200002</v>
      </c>
      <c r="E9" s="33">
        <f>$C$29*'E Balans VL '!I10/100/3.6*1000000</f>
        <v>1.3808461639682863</v>
      </c>
      <c r="F9" s="33">
        <f>$C$29*('E Balans VL '!L10+'E Balans VL '!N10)/100/3.6*1000000</f>
        <v>60.564798918755237</v>
      </c>
      <c r="G9" s="34"/>
      <c r="H9" s="33"/>
      <c r="I9" s="33"/>
      <c r="J9" s="33">
        <f>$C$29*('E Balans VL '!D10+'E Balans VL '!E10)/100/3.6*1000000</f>
        <v>0</v>
      </c>
      <c r="K9" s="33"/>
      <c r="L9" s="33"/>
      <c r="M9" s="33"/>
      <c r="N9" s="33">
        <f>$C$29*'E Balans VL '!Y10/100/3.6*1000000</f>
        <v>5.7322022032332542</v>
      </c>
      <c r="O9" s="33"/>
      <c r="P9" s="33"/>
      <c r="R9" s="32"/>
    </row>
    <row r="10" spans="1:18">
      <c r="A10" s="32" t="s">
        <v>49</v>
      </c>
      <c r="B10" s="37">
        <f t="shared" si="0"/>
        <v>1431.530632</v>
      </c>
      <c r="C10" s="33"/>
      <c r="D10" s="37">
        <f>IF(ISERROR(TER_ander_gas_kWh/1000),0,TER_ander_gas_kWh/1000)*0.902</f>
        <v>1027.599935296</v>
      </c>
      <c r="E10" s="33">
        <f>$C$30*'E Balans VL '!I14/100/3.6*1000000</f>
        <v>2.2067189747037661</v>
      </c>
      <c r="F10" s="33">
        <f>$C$30*('E Balans VL '!L14+'E Balans VL '!N14)/100/3.6*1000000</f>
        <v>222.24552581375835</v>
      </c>
      <c r="G10" s="34"/>
      <c r="H10" s="33"/>
      <c r="I10" s="33"/>
      <c r="J10" s="33">
        <f>$C$30*('E Balans VL '!D14+'E Balans VL '!E14)/100/3.6*1000000</f>
        <v>2.4301742205906227E-2</v>
      </c>
      <c r="K10" s="33"/>
      <c r="L10" s="33"/>
      <c r="M10" s="33"/>
      <c r="N10" s="33">
        <f>$C$30*'E Balans VL '!Y14/100/3.6*1000000</f>
        <v>947.05478591883843</v>
      </c>
      <c r="O10" s="33"/>
      <c r="P10" s="33"/>
      <c r="R10" s="32"/>
    </row>
    <row r="11" spans="1:18">
      <c r="A11" s="32" t="s">
        <v>54</v>
      </c>
      <c r="B11" s="37">
        <f t="shared" si="0"/>
        <v>224.90893100000002</v>
      </c>
      <c r="C11" s="33"/>
      <c r="D11" s="37">
        <f>IF(ISERROR(TER_onderwijs_gas_kWh/1000),0,TER_onderwijs_gas_kWh/1000)*0.902</f>
        <v>926.25453826399996</v>
      </c>
      <c r="E11" s="33">
        <f>$C$31*'E Balans VL '!I11/100/3.6*1000000</f>
        <v>5.7367138811910943</v>
      </c>
      <c r="F11" s="33">
        <f>$C$31*('E Balans VL '!L11+'E Balans VL '!N11)/100/3.6*1000000</f>
        <v>27.047415876223845</v>
      </c>
      <c r="G11" s="34"/>
      <c r="H11" s="33"/>
      <c r="I11" s="33"/>
      <c r="J11" s="33">
        <f>$C$31*('E Balans VL '!D11+'E Balans VL '!E11)/100/3.6*1000000</f>
        <v>0</v>
      </c>
      <c r="K11" s="33"/>
      <c r="L11" s="33"/>
      <c r="M11" s="33"/>
      <c r="N11" s="33">
        <f>$C$31*'E Balans VL '!Y11/100/3.6*1000000</f>
        <v>0.50019197471879695</v>
      </c>
      <c r="O11" s="33"/>
      <c r="P11" s="33"/>
      <c r="R11" s="32"/>
    </row>
    <row r="12" spans="1:18">
      <c r="A12" s="32" t="s">
        <v>254</v>
      </c>
      <c r="B12" s="37">
        <f t="shared" si="0"/>
        <v>1497.477498</v>
      </c>
      <c r="C12" s="33"/>
      <c r="D12" s="37">
        <f>IF(ISERROR(TER_rest_gas_kWh/1000),0,TER_rest_gas_kWh/1000)*0.902</f>
        <v>2348.7812502880001</v>
      </c>
      <c r="E12" s="33">
        <f>$C$32*'E Balans VL '!I8/100/3.6*1000000</f>
        <v>19.330020237340168</v>
      </c>
      <c r="F12" s="33">
        <f>$C$32*('E Balans VL '!L8+'E Balans VL '!N8)/100/3.6*1000000</f>
        <v>172.03964772300478</v>
      </c>
      <c r="G12" s="34"/>
      <c r="H12" s="33"/>
      <c r="I12" s="33"/>
      <c r="J12" s="33">
        <f>$C$32*('E Balans VL '!D8+'E Balans VL '!E8)/100/3.6*1000000</f>
        <v>2.8698363957407884E-3</v>
      </c>
      <c r="K12" s="33"/>
      <c r="L12" s="33"/>
      <c r="M12" s="33"/>
      <c r="N12" s="33">
        <f>$C$32*'E Balans VL '!Y8/100/3.6*1000000</f>
        <v>113.38425354999256</v>
      </c>
      <c r="O12" s="33"/>
      <c r="P12" s="33"/>
      <c r="R12" s="32"/>
    </row>
    <row r="13" spans="1:18">
      <c r="A13" s="16" t="s">
        <v>471</v>
      </c>
      <c r="B13" s="245">
        <f ca="1">'lokale energieproductie'!N40+'lokale energieproductie'!N33</f>
        <v>0</v>
      </c>
      <c r="C13" s="245">
        <f ca="1">'lokale energieproductie'!O40+'lokale energieproductie'!O33</f>
        <v>0</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12751.509124000002</v>
      </c>
      <c r="C16" s="21">
        <f t="shared" ca="1" si="1"/>
        <v>0</v>
      </c>
      <c r="D16" s="21">
        <f t="shared" ca="1" si="1"/>
        <v>16220.925339432</v>
      </c>
      <c r="E16" s="21">
        <f t="shared" si="1"/>
        <v>200.19308909826231</v>
      </c>
      <c r="F16" s="21">
        <f t="shared" ca="1" si="1"/>
        <v>1425.6960872947707</v>
      </c>
      <c r="G16" s="21">
        <f t="shared" si="1"/>
        <v>0</v>
      </c>
      <c r="H16" s="21">
        <f t="shared" si="1"/>
        <v>0</v>
      </c>
      <c r="I16" s="21">
        <f t="shared" si="1"/>
        <v>0</v>
      </c>
      <c r="J16" s="21">
        <f t="shared" si="1"/>
        <v>2.7171578601647015E-2</v>
      </c>
      <c r="K16" s="21">
        <f t="shared" si="1"/>
        <v>0</v>
      </c>
      <c r="L16" s="21">
        <f t="shared" ca="1" si="1"/>
        <v>0</v>
      </c>
      <c r="M16" s="21">
        <f t="shared" si="1"/>
        <v>0</v>
      </c>
      <c r="N16" s="21">
        <f t="shared" ca="1" si="1"/>
        <v>1069.9716143163485</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0.18039619358482231</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2300.3237084317325</v>
      </c>
      <c r="C20" s="23">
        <f t="shared" ref="C20:P20" ca="1" si="2">C16*C18</f>
        <v>0</v>
      </c>
      <c r="D20" s="23">
        <f t="shared" ca="1" si="2"/>
        <v>3276.6269185652641</v>
      </c>
      <c r="E20" s="23">
        <f t="shared" si="2"/>
        <v>45.443831225305544</v>
      </c>
      <c r="F20" s="23">
        <f t="shared" ca="1" si="2"/>
        <v>380.6608553077038</v>
      </c>
      <c r="G20" s="23">
        <f t="shared" si="2"/>
        <v>0</v>
      </c>
      <c r="H20" s="23">
        <f t="shared" si="2"/>
        <v>0</v>
      </c>
      <c r="I20" s="23">
        <f t="shared" si="2"/>
        <v>0</v>
      </c>
      <c r="J20" s="23">
        <f t="shared" si="2"/>
        <v>9.6187388249830436E-3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1870.8961040000002</v>
      </c>
      <c r="C26" s="39">
        <f>IF(ISERROR(B26*3.6/1000000/'E Balans VL '!Z12*100),0,B26*3.6/1000000/'E Balans VL '!Z12*100)</f>
        <v>3.9689349172982571E-2</v>
      </c>
      <c r="D26" s="235" t="s">
        <v>698</v>
      </c>
      <c r="F26" s="6"/>
    </row>
    <row r="27" spans="1:18">
      <c r="A27" s="229" t="s">
        <v>52</v>
      </c>
      <c r="B27" s="33">
        <f>IF(ISERROR(TER_horeca_ele_kWh/1000),0,TER_horeca_ele_kWh/1000)</f>
        <v>1932.0830619999999</v>
      </c>
      <c r="C27" s="39">
        <f>IF(ISERROR(B27*3.6/1000000/'E Balans VL '!Z9*100),0,B27*3.6/1000000/'E Balans VL '!Z9*100)</f>
        <v>0.14550296993907452</v>
      </c>
      <c r="D27" s="235" t="s">
        <v>698</v>
      </c>
      <c r="F27" s="6"/>
    </row>
    <row r="28" spans="1:18">
      <c r="A28" s="169" t="s">
        <v>51</v>
      </c>
      <c r="B28" s="33">
        <f>IF(ISERROR(TER_handel_ele_kWh/1000),0,TER_handel_ele_kWh/1000)</f>
        <v>5057.8966330000003</v>
      </c>
      <c r="C28" s="39">
        <f>IF(ISERROR(B28*3.6/1000000/'E Balans VL '!Z13*100),0,B28*3.6/1000000/'E Balans VL '!Z13*100)</f>
        <v>0.1468128177299495</v>
      </c>
      <c r="D28" s="235" t="s">
        <v>698</v>
      </c>
      <c r="F28" s="6"/>
    </row>
    <row r="29" spans="1:18">
      <c r="A29" s="229" t="s">
        <v>50</v>
      </c>
      <c r="B29" s="33">
        <f>IF(ISERROR(TER_gezond_ele_kWh/1000),0,TER_gezond_ele_kWh/1000)</f>
        <v>736.71626399999991</v>
      </c>
      <c r="C29" s="39">
        <f>IF(ISERROR(B29*3.6/1000000/'E Balans VL '!Z10*100),0,B29*3.6/1000000/'E Balans VL '!Z10*100)</f>
        <v>7.4298713794328203E-2</v>
      </c>
      <c r="D29" s="235" t="s">
        <v>698</v>
      </c>
      <c r="F29" s="6"/>
    </row>
    <row r="30" spans="1:18">
      <c r="A30" s="229" t="s">
        <v>49</v>
      </c>
      <c r="B30" s="33">
        <f>IF(ISERROR(TER_ander_ele_kWh/1000),0,TER_ander_ele_kWh/1000)</f>
        <v>1431.530632</v>
      </c>
      <c r="C30" s="39">
        <f>IF(ISERROR(B30*3.6/1000000/'E Balans VL '!Z14*100),0,B30*3.6/1000000/'E Balans VL '!Z14*100)</f>
        <v>0.10387707701028269</v>
      </c>
      <c r="D30" s="235" t="s">
        <v>698</v>
      </c>
      <c r="F30" s="6"/>
    </row>
    <row r="31" spans="1:18">
      <c r="A31" s="229" t="s">
        <v>54</v>
      </c>
      <c r="B31" s="33">
        <f>IF(ISERROR(TER_onderwijs_ele_kWh/1000),0,TER_onderwijs_ele_kWh/1000)</f>
        <v>224.90893100000002</v>
      </c>
      <c r="C31" s="39">
        <f>IF(ISERROR(B31*3.6/1000000/'E Balans VL '!Z11*100),0,B31*3.6/1000000/'E Balans VL '!Z11*100)</f>
        <v>6.4108204053133458E-2</v>
      </c>
      <c r="D31" s="235" t="s">
        <v>698</v>
      </c>
    </row>
    <row r="32" spans="1:18">
      <c r="A32" s="229" t="s">
        <v>254</v>
      </c>
      <c r="B32" s="33">
        <f>IF(ISERROR(TER_rest_ele_kWh/1000),0,TER_rest_ele_kWh/1000)</f>
        <v>1497.477498</v>
      </c>
      <c r="C32" s="39">
        <f>IF(ISERROR(B32*3.6/1000000/'E Balans VL '!Z8*100),0,B32*3.6/1000000/'E Balans VL '!Z8*100)</f>
        <v>1.2267030641730127E-2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2725.4076769999997</v>
      </c>
      <c r="C5" s="17">
        <f>IF(ISERROR('Eigen informatie GS &amp; warmtenet'!B61),0,'Eigen informatie GS &amp; warmtenet'!B61)</f>
        <v>0</v>
      </c>
      <c r="D5" s="30">
        <f>SUM(D6:D15)</f>
        <v>2604.4175014440002</v>
      </c>
      <c r="E5" s="17">
        <f>SUM(E6:E15)</f>
        <v>430.4118484301456</v>
      </c>
      <c r="F5" s="17">
        <f>SUM(F6:F15)</f>
        <v>1369.4871617289725</v>
      </c>
      <c r="G5" s="18"/>
      <c r="H5" s="17"/>
      <c r="I5" s="17"/>
      <c r="J5" s="17">
        <f>SUM(J6:J15)</f>
        <v>3.2989837895957828</v>
      </c>
      <c r="K5" s="17"/>
      <c r="L5" s="17"/>
      <c r="M5" s="17"/>
      <c r="N5" s="17">
        <f>SUM(N6:N15)</f>
        <v>171.14335549705405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365.23124000000001</v>
      </c>
      <c r="C8" s="33"/>
      <c r="D8" s="37">
        <f>IF( ISERROR(IND_metaal_Gas_kWH/1000),0,IND_metaal_Gas_kWH/1000)*0.902</f>
        <v>36.929959109999999</v>
      </c>
      <c r="E8" s="33">
        <f>C30*'E Balans VL '!I18/100/3.6*1000000</f>
        <v>2.6348870533580406</v>
      </c>
      <c r="F8" s="33">
        <f>C30*'E Balans VL '!L18/100/3.6*1000000+C30*'E Balans VL '!N18/100/3.6*1000000</f>
        <v>34.54414091168001</v>
      </c>
      <c r="G8" s="34"/>
      <c r="H8" s="33"/>
      <c r="I8" s="33"/>
      <c r="J8" s="40">
        <f>C30*'E Balans VL '!D18/100/3.6*1000000+C30*'E Balans VL '!E18/100/3.6*1000000</f>
        <v>0.36735170362309416</v>
      </c>
      <c r="K8" s="33"/>
      <c r="L8" s="33"/>
      <c r="M8" s="33"/>
      <c r="N8" s="33">
        <f>C30*'E Balans VL '!Y18/100/3.6*1000000</f>
        <v>4.6174891800610318</v>
      </c>
      <c r="O8" s="33"/>
      <c r="P8" s="33"/>
      <c r="R8" s="32"/>
    </row>
    <row r="9" spans="1:18">
      <c r="A9" s="6" t="s">
        <v>32</v>
      </c>
      <c r="B9" s="37">
        <f t="shared" si="0"/>
        <v>1468.3280070000001</v>
      </c>
      <c r="C9" s="33"/>
      <c r="D9" s="37">
        <f>IF( ISERROR(IND_andere_gas_kWh/1000),0,IND_andere_gas_kWh/1000)*0.902</f>
        <v>1474.8351289100001</v>
      </c>
      <c r="E9" s="33">
        <f>C31*'E Balans VL '!I19/100/3.6*1000000</f>
        <v>406.89332474494552</v>
      </c>
      <c r="F9" s="33">
        <f>C31*'E Balans VL '!L19/100/3.6*1000000+C31*'E Balans VL '!N19/100/3.6*1000000</f>
        <v>1216.9534252828778</v>
      </c>
      <c r="G9" s="34"/>
      <c r="H9" s="33"/>
      <c r="I9" s="33"/>
      <c r="J9" s="40">
        <f>C31*'E Balans VL '!D19/100/3.6*1000000+C31*'E Balans VL '!E19/100/3.6*1000000</f>
        <v>0</v>
      </c>
      <c r="K9" s="33"/>
      <c r="L9" s="33"/>
      <c r="M9" s="33"/>
      <c r="N9" s="33">
        <f>C31*'E Balans VL '!Y19/100/3.6*1000000</f>
        <v>106.58265371239975</v>
      </c>
      <c r="O9" s="33"/>
      <c r="P9" s="33"/>
      <c r="R9" s="32"/>
    </row>
    <row r="10" spans="1:18">
      <c r="A10" s="6" t="s">
        <v>40</v>
      </c>
      <c r="B10" s="37">
        <f t="shared" si="0"/>
        <v>461.95658899999995</v>
      </c>
      <c r="C10" s="33"/>
      <c r="D10" s="37">
        <f>IF( ISERROR(IND_voed_gas_kWh/1000),0,IND_voed_gas_kWh/1000)*0.902</f>
        <v>442.77620622400002</v>
      </c>
      <c r="E10" s="33">
        <f>C32*'E Balans VL '!I20/100/3.6*1000000</f>
        <v>0.81781963725873708</v>
      </c>
      <c r="F10" s="33">
        <f>C32*'E Balans VL '!L20/100/3.6*1000000+C32*'E Balans VL '!N20/100/3.6*1000000</f>
        <v>24.949750090521974</v>
      </c>
      <c r="G10" s="34"/>
      <c r="H10" s="33"/>
      <c r="I10" s="33"/>
      <c r="J10" s="40">
        <f>C32*'E Balans VL '!D20/100/3.6*1000000+C32*'E Balans VL '!E20/100/3.6*1000000</f>
        <v>0</v>
      </c>
      <c r="K10" s="33"/>
      <c r="L10" s="33"/>
      <c r="M10" s="33"/>
      <c r="N10" s="33">
        <f>C32*'E Balans VL '!Y20/100/3.6*1000000</f>
        <v>26.843205827332287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77.887543000000008</v>
      </c>
      <c r="C12" s="33"/>
      <c r="D12" s="37">
        <f>IF( ISERROR(IND_min_gas_kWh/1000),0,IND_min_gas_kWh/1000)*0.902</f>
        <v>0</v>
      </c>
      <c r="E12" s="33">
        <f>C34*'E Balans VL '!I22/100/3.6*1000000</f>
        <v>3.4298895662070774</v>
      </c>
      <c r="F12" s="33">
        <f>C34*'E Balans VL '!L22/100/3.6*1000000+C34*'E Balans VL '!N22/100/3.6*1000000</f>
        <v>30.457174845008481</v>
      </c>
      <c r="G12" s="34"/>
      <c r="H12" s="33"/>
      <c r="I12" s="33"/>
      <c r="J12" s="40">
        <f>C34*'E Balans VL '!D22/100/3.6*1000000+C34*'E Balans VL '!E22/100/3.6*1000000</f>
        <v>2.3649425863489081E-2</v>
      </c>
      <c r="K12" s="33"/>
      <c r="L12" s="33"/>
      <c r="M12" s="33"/>
      <c r="N12" s="33">
        <f>C34*'E Balans VL '!Y22/100/3.6*1000000</f>
        <v>19.267017749979058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352.00429800000001</v>
      </c>
      <c r="C15" s="33"/>
      <c r="D15" s="37">
        <f>IF( ISERROR(IND_rest_gas_kWh/1000),0,IND_rest_gas_kWh/1000)*0.902</f>
        <v>649.87620720000007</v>
      </c>
      <c r="E15" s="33">
        <f>C37*'E Balans VL '!I15/100/3.6*1000000</f>
        <v>16.635927428376188</v>
      </c>
      <c r="F15" s="33">
        <f>C37*'E Balans VL '!L15/100/3.6*1000000+C37*'E Balans VL '!N15/100/3.6*1000000</f>
        <v>62.582670598884356</v>
      </c>
      <c r="G15" s="34"/>
      <c r="H15" s="33"/>
      <c r="I15" s="33"/>
      <c r="J15" s="40">
        <f>C37*'E Balans VL '!D15/100/3.6*1000000+C37*'E Balans VL '!E15/100/3.6*1000000</f>
        <v>2.9079826601091994</v>
      </c>
      <c r="K15" s="33"/>
      <c r="L15" s="33"/>
      <c r="M15" s="33"/>
      <c r="N15" s="33">
        <f>C37*'E Balans VL '!Y15/100/3.6*1000000</f>
        <v>13.832989027281913</v>
      </c>
      <c r="O15" s="33"/>
      <c r="P15" s="33"/>
      <c r="R15" s="32"/>
    </row>
    <row r="16" spans="1:18">
      <c r="A16" s="16" t="s">
        <v>471</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2725.4076769999997</v>
      </c>
      <c r="C18" s="21">
        <f>C5+C16</f>
        <v>0</v>
      </c>
      <c r="D18" s="21">
        <f>MAX((D5+D16),0)</f>
        <v>2604.4175014440002</v>
      </c>
      <c r="E18" s="21">
        <f>MAX((E5+E16),0)</f>
        <v>430.4118484301456</v>
      </c>
      <c r="F18" s="21">
        <f>MAX((F5+F16),0)</f>
        <v>1369.4871617289725</v>
      </c>
      <c r="G18" s="21"/>
      <c r="H18" s="21"/>
      <c r="I18" s="21"/>
      <c r="J18" s="21">
        <f>MAX((J5+J16),0)</f>
        <v>3.2989837895957828</v>
      </c>
      <c r="K18" s="21"/>
      <c r="L18" s="21">
        <f>MAX((L5+L16),0)</f>
        <v>0</v>
      </c>
      <c r="M18" s="21"/>
      <c r="N18" s="21">
        <f>MAX((N5+N16),0)</f>
        <v>171.14335549705405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0.18039619358482231</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491.65317089765284</v>
      </c>
      <c r="C22" s="23">
        <f ca="1">C18*C20</f>
        <v>0</v>
      </c>
      <c r="D22" s="23">
        <f>D18*D20</f>
        <v>526.09233529168807</v>
      </c>
      <c r="E22" s="23">
        <f>E18*E20</f>
        <v>97.703489593643056</v>
      </c>
      <c r="F22" s="23">
        <f>F18*F20</f>
        <v>365.65307218163571</v>
      </c>
      <c r="G22" s="23"/>
      <c r="H22" s="23"/>
      <c r="I22" s="23"/>
      <c r="J22" s="23">
        <f>J18*J20</f>
        <v>1.167840261516907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365.23124000000001</v>
      </c>
      <c r="C30" s="39">
        <f>IF(ISERROR(B30*3.6/1000000/'E Balans VL '!Z18*100),0,B30*3.6/1000000/'E Balans VL '!Z18*100)</f>
        <v>2.1084229597486459E-2</v>
      </c>
      <c r="D30" s="235" t="s">
        <v>698</v>
      </c>
    </row>
    <row r="31" spans="1:18">
      <c r="A31" s="6" t="s">
        <v>32</v>
      </c>
      <c r="B31" s="37">
        <f>IF( ISERROR(IND_ander_ele_kWh/1000),0,IND_ander_ele_kWh/1000)</f>
        <v>1468.3280070000001</v>
      </c>
      <c r="C31" s="39">
        <f>IF(ISERROR(B31*3.6/1000000/'E Balans VL '!Z19*100),0,B31*3.6/1000000/'E Balans VL '!Z19*100)</f>
        <v>7.385213935115395E-2</v>
      </c>
      <c r="D31" s="235" t="s">
        <v>698</v>
      </c>
    </row>
    <row r="32" spans="1:18">
      <c r="A32" s="169" t="s">
        <v>40</v>
      </c>
      <c r="B32" s="37">
        <f>IF( ISERROR(IND_voed_ele_kWh/1000),0,IND_voed_ele_kWh/1000)</f>
        <v>461.95658899999995</v>
      </c>
      <c r="C32" s="39">
        <f>IF(ISERROR(B32*3.6/1000000/'E Balans VL '!Z20*100),0,B32*3.6/1000000/'E Balans VL '!Z20*100)</f>
        <v>1.538589762653015E-2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77.887543000000008</v>
      </c>
      <c r="C34" s="39">
        <f>IF(ISERROR(B34*3.6/1000000/'E Balans VL '!Z22*100),0,B34*3.6/1000000/'E Balans VL '!Z22*100)</f>
        <v>1.4528657527057372E-2</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352.00429800000001</v>
      </c>
      <c r="C37" s="39">
        <f>IF(ISERROR(B37*3.6/1000000/'E Balans VL '!Z15*100),0,B37*3.6/1000000/'E Balans VL '!Z15*100)</f>
        <v>2.7465961263334194E-3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1401.5305919999998</v>
      </c>
      <c r="C5" s="17">
        <f>'Eigen informatie GS &amp; warmtenet'!B62</f>
        <v>0</v>
      </c>
      <c r="D5" s="30">
        <f>IF(ISERROR(SUM(LB_lb_gas_kWh,LB_rest_gas_kWh)/1000),0,SUM(LB_lb_gas_kWh,LB_rest_gas_kWh)/1000)*0.902</f>
        <v>32958.376685344003</v>
      </c>
      <c r="E5" s="17">
        <f>B17*'E Balans VL '!I25/3.6*1000000/100</f>
        <v>43.741307608547423</v>
      </c>
      <c r="F5" s="17">
        <f>B17*('E Balans VL '!L25/3.6*1000000+'E Balans VL '!N25/3.6*1000000)/100</f>
        <v>4953.1643694987597</v>
      </c>
      <c r="G5" s="18"/>
      <c r="H5" s="17"/>
      <c r="I5" s="17"/>
      <c r="J5" s="17">
        <f>('E Balans VL '!D25+'E Balans VL '!E25)/3.6*1000000*landbouw!B17/100</f>
        <v>386.13139762547422</v>
      </c>
      <c r="K5" s="17"/>
      <c r="L5" s="17">
        <f>L6*(-1)</f>
        <v>0</v>
      </c>
      <c r="M5" s="17"/>
      <c r="N5" s="17">
        <f>N6*(-1)</f>
        <v>10542.857142857143</v>
      </c>
      <c r="O5" s="17"/>
      <c r="P5" s="17"/>
      <c r="R5" s="32"/>
    </row>
    <row r="6" spans="1:18">
      <c r="A6" s="16" t="s">
        <v>471</v>
      </c>
      <c r="B6" s="17" t="s">
        <v>210</v>
      </c>
      <c r="C6" s="17">
        <f>'lokale energieproductie'!O41+'lokale energieproductie'!O34</f>
        <v>18585.000000000004</v>
      </c>
      <c r="D6" s="304">
        <f>('lokale energieproductie'!P34+'lokale energieproductie'!P41)*(-1)</f>
        <v>-26627.142857142859</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-10542.857142857143</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1401.5305919999998</v>
      </c>
      <c r="C8" s="21">
        <f>C5+C6</f>
        <v>18585.000000000004</v>
      </c>
      <c r="D8" s="21">
        <f>MAX((D5+D6),0)</f>
        <v>6331.2338282011442</v>
      </c>
      <c r="E8" s="21">
        <f>MAX((E5+E6),0)</f>
        <v>43.741307608547423</v>
      </c>
      <c r="F8" s="21">
        <f>MAX((F5+F6),0)</f>
        <v>4953.1643694987597</v>
      </c>
      <c r="G8" s="21"/>
      <c r="H8" s="21"/>
      <c r="I8" s="21"/>
      <c r="J8" s="21">
        <f>MAX((J5+J6),0)</f>
        <v>386.13139762547422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0.18039619358482231</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252.8307839894826</v>
      </c>
      <c r="C12" s="23">
        <f ca="1">C8*C10</f>
        <v>3163.9310924369752</v>
      </c>
      <c r="D12" s="23">
        <f>D8*D10</f>
        <v>1278.9092332966311</v>
      </c>
      <c r="E12" s="23">
        <f>E8*E10</f>
        <v>9.9292768271402654</v>
      </c>
      <c r="F12" s="23">
        <f>F8*F10</f>
        <v>1322.494886656169</v>
      </c>
      <c r="G12" s="23"/>
      <c r="H12" s="23"/>
      <c r="I12" s="23"/>
      <c r="J12" s="23">
        <f>J8*J10</f>
        <v>136.69051475941788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0.20834756962376882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268.16747826560817</v>
      </c>
      <c r="C26" s="245">
        <f>B26*'GWP N2O_CH4'!B5</f>
        <v>5631.5170435777718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138.6301756370238</v>
      </c>
      <c r="C27" s="245">
        <f>B27*'GWP N2O_CH4'!B5</f>
        <v>2911.2336883774997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4.3831277699732736</v>
      </c>
      <c r="C28" s="245">
        <f>B28*'GWP N2O_CH4'!B4</f>
        <v>1358.7696086917149</v>
      </c>
      <c r="D28" s="50"/>
    </row>
    <row r="29" spans="1:4">
      <c r="A29" s="41" t="s">
        <v>271</v>
      </c>
      <c r="B29" s="245">
        <f>B34*'ha_N2O bodem landbouw'!B4</f>
        <v>13.982964186125344</v>
      </c>
      <c r="C29" s="245">
        <f>B29*'GWP N2O_CH4'!B4</f>
        <v>4334.7188976988564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3.0662122884078402E-3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5.5169947457433957E-4</v>
      </c>
      <c r="C5" s="433" t="s">
        <v>210</v>
      </c>
      <c r="D5" s="418">
        <f>SUM(D6:D11)</f>
        <v>9.0488936894471807E-4</v>
      </c>
      <c r="E5" s="418">
        <f>SUM(E6:E11)</f>
        <v>8.5448175189312592E-4</v>
      </c>
      <c r="F5" s="431" t="s">
        <v>210</v>
      </c>
      <c r="G5" s="418">
        <f>SUM(G6:G11)</f>
        <v>0.50278546135991609</v>
      </c>
      <c r="H5" s="418">
        <f>SUM(H6:H11)</f>
        <v>8.1851921642553532E-2</v>
      </c>
      <c r="I5" s="433" t="s">
        <v>210</v>
      </c>
      <c r="J5" s="433" t="s">
        <v>210</v>
      </c>
      <c r="K5" s="433" t="s">
        <v>210</v>
      </c>
      <c r="L5" s="433" t="s">
        <v>210</v>
      </c>
      <c r="M5" s="418">
        <f>SUM(M6:M11)</f>
        <v>3.4400846775352559E-2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9.2134201445085435E-5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1.5553149075959348E-4</v>
      </c>
      <c r="E6" s="884">
        <f>vkm_GW_PW*SUMIFS(TableVerdeelsleutelVkm[LPG],TableVerdeelsleutelVkm[Voertuigtype],"Lichte voertuigen")*SUMIFS(TableECFTransport[EnergieConsumptieFactor (PJ per km)],TableECFTransport[Index],CONCATENATE($A6,"_LPG_LPG"))</f>
        <v>1.3628795741058922E-4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4.2573710949124273E-2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1.3873435328797278E-2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3.3725952641876756E-3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1.2556332879837363E-6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4.7924011308701206E-2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6.6615912035348042E-7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2.7624540666557934E-3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1.6506913273990951E-4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3.5580449042530246E-4</v>
      </c>
      <c r="E8" s="421">
        <f>vkm_NGW_PW*SUMIFS(TableVerdeelsleutelVkm[LPG],TableVerdeelsleutelVkm[Voertuigtype],"Lichte voertuigen")*SUMIFS(TableECFTransport[EnergieConsumptieFactor (PJ per km)],TableECFTransport[Index],CONCATENATE($A8,"_LPG_LPG"))</f>
        <v>2.9866652108608065E-4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8.6198768956955621E-2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3.1277733336513666E-2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7.0395763030852068E-3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8.3929529041444668E-7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4.1181610048724893E-2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5.3746029952418371E-7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2.373803695817162E-3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2.8782989708207667E-4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3.9355338775982213E-4</v>
      </c>
      <c r="E10" s="421">
        <f>vkm_SW_PW*SUMIFS(TableVerdeelsleutelVkm[LPG],TableVerdeelsleutelVkm[Voertuigtype],"Lichte voertuigen")*SUMIFS(TableECFTransport[EnergieConsumptieFactor (PJ per km)],TableECFTransport[Index],CONCATENATE($A10,"_LPG_LPG"))</f>
        <v>4.1952727339645602E-4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0.11942669066232638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3.6697053115629187E-2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9.3137048523438334E-3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4.5713147288698247E-6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0.16548066943408371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2.4962421935313535E-6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9.538712593262888E-3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153.24985404842766</v>
      </c>
      <c r="C14" s="21"/>
      <c r="D14" s="21">
        <f t="shared" ref="D14:M14" si="0">((D5)*10^9/3600)+D12</f>
        <v>251.35815804019944</v>
      </c>
      <c r="E14" s="21">
        <f t="shared" si="0"/>
        <v>237.35604219253497</v>
      </c>
      <c r="F14" s="21"/>
      <c r="G14" s="21">
        <f t="shared" si="0"/>
        <v>139662.62815553223</v>
      </c>
      <c r="H14" s="21">
        <f t="shared" si="0"/>
        <v>22736.644900709318</v>
      </c>
      <c r="I14" s="21"/>
      <c r="J14" s="21"/>
      <c r="K14" s="21"/>
      <c r="L14" s="21"/>
      <c r="M14" s="21">
        <f t="shared" si="0"/>
        <v>9555.7907709312658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0.18039619358482231</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27.645690337765924</v>
      </c>
      <c r="C18" s="23"/>
      <c r="D18" s="23">
        <f t="shared" ref="D18:M18" si="1">D14*D16</f>
        <v>50.774347924120292</v>
      </c>
      <c r="E18" s="23">
        <f t="shared" si="1"/>
        <v>53.879821577705442</v>
      </c>
      <c r="F18" s="23"/>
      <c r="G18" s="23">
        <f t="shared" si="1"/>
        <v>37289.921717527111</v>
      </c>
      <c r="H18" s="23">
        <f t="shared" si="1"/>
        <v>5661.42458027662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6.5470208172315576E-5</v>
      </c>
      <c r="C50" s="315">
        <f t="shared" ref="C50:P50" si="2">SUM(C51:C52)</f>
        <v>0</v>
      </c>
      <c r="D50" s="315">
        <f t="shared" si="2"/>
        <v>0</v>
      </c>
      <c r="E50" s="315">
        <f t="shared" si="2"/>
        <v>0</v>
      </c>
      <c r="F50" s="315">
        <f t="shared" si="2"/>
        <v>0</v>
      </c>
      <c r="G50" s="315">
        <f t="shared" si="2"/>
        <v>4.7434151885498649E-3</v>
      </c>
      <c r="H50" s="315">
        <f t="shared" si="2"/>
        <v>0</v>
      </c>
      <c r="I50" s="315">
        <f t="shared" si="2"/>
        <v>0</v>
      </c>
      <c r="J50" s="315">
        <f t="shared" si="2"/>
        <v>0</v>
      </c>
      <c r="K50" s="315">
        <f t="shared" si="2"/>
        <v>0</v>
      </c>
      <c r="L50" s="315">
        <f t="shared" si="2"/>
        <v>0</v>
      </c>
      <c r="M50" s="315">
        <f t="shared" si="2"/>
        <v>2.6830168895977956E-4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6.5470208172315576E-5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4.7434151885498649E-3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2.6830168895977956E-4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18.186168936754328</v>
      </c>
      <c r="C54" s="21">
        <f t="shared" ref="C54:P54" si="3">(C50)*10^9/3600</f>
        <v>0</v>
      </c>
      <c r="D54" s="21">
        <f t="shared" si="3"/>
        <v>0</v>
      </c>
      <c r="E54" s="21">
        <f t="shared" si="3"/>
        <v>0</v>
      </c>
      <c r="F54" s="21">
        <f t="shared" si="3"/>
        <v>0</v>
      </c>
      <c r="G54" s="21">
        <f t="shared" si="3"/>
        <v>1317.6153301527404</v>
      </c>
      <c r="H54" s="21">
        <f t="shared" si="3"/>
        <v>0</v>
      </c>
      <c r="I54" s="21">
        <f t="shared" si="3"/>
        <v>0</v>
      </c>
      <c r="J54" s="21">
        <f t="shared" si="3"/>
        <v>0</v>
      </c>
      <c r="K54" s="21">
        <f t="shared" si="3"/>
        <v>0</v>
      </c>
      <c r="L54" s="21">
        <f t="shared" si="3"/>
        <v>0</v>
      </c>
      <c r="M54" s="21">
        <f t="shared" si="3"/>
        <v>74.528246933272101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0.18039619358482231</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3.2807156520810157</v>
      </c>
      <c r="C58" s="23">
        <f t="shared" ref="C58:P58" ca="1" si="4">C54*C56</f>
        <v>0</v>
      </c>
      <c r="D58" s="23">
        <f t="shared" si="4"/>
        <v>0</v>
      </c>
      <c r="E58" s="23">
        <f t="shared" si="4"/>
        <v>0</v>
      </c>
      <c r="F58" s="23">
        <f t="shared" si="4"/>
        <v>0</v>
      </c>
      <c r="G58" s="23">
        <f t="shared" si="4"/>
        <v>351.80329315078171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6623.8448501544772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13009.5</v>
      </c>
      <c r="C8" s="543">
        <f>B50</f>
        <v>10964.117647058822</v>
      </c>
      <c r="D8" s="544"/>
      <c r="E8" s="544">
        <f>E50</f>
        <v>0</v>
      </c>
      <c r="F8" s="545"/>
      <c r="G8" s="546"/>
      <c r="H8" s="544">
        <f>I50</f>
        <v>0</v>
      </c>
      <c r="I8" s="544">
        <f>G50+F50</f>
        <v>0</v>
      </c>
      <c r="J8" s="544">
        <f>H50+D50+C50</f>
        <v>4341.1764705882342</v>
      </c>
      <c r="K8" s="544"/>
      <c r="L8" s="544"/>
      <c r="M8" s="544"/>
      <c r="N8" s="547"/>
      <c r="O8" s="548">
        <f>C8*$C$12+D8*$D$12+E8*$E$12+F8*$F$12+G8*$G$12+H8*$H$12+I8*$I$12+J8*$J$12</f>
        <v>2214.7517647058821</v>
      </c>
      <c r="P8" s="1244"/>
      <c r="Q8" s="1245"/>
      <c r="S8" s="538"/>
      <c r="T8" s="1232"/>
      <c r="U8" s="1232"/>
    </row>
    <row r="9" spans="1:21" s="529" customFormat="1" ht="17.45" customHeight="1" thickBot="1">
      <c r="A9" s="549" t="s">
        <v>242</v>
      </c>
      <c r="B9" s="550">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19633.344850154477</v>
      </c>
      <c r="C10" s="558">
        <f t="shared" ref="C10:L10" si="0">SUM(C8:C9)</f>
        <v>10964.117647058822</v>
      </c>
      <c r="D10" s="558">
        <f t="shared" si="0"/>
        <v>0</v>
      </c>
      <c r="E10" s="558">
        <f t="shared" si="0"/>
        <v>0</v>
      </c>
      <c r="F10" s="558">
        <f t="shared" si="0"/>
        <v>0</v>
      </c>
      <c r="G10" s="558">
        <f t="shared" si="0"/>
        <v>0</v>
      </c>
      <c r="H10" s="558">
        <f t="shared" si="0"/>
        <v>0</v>
      </c>
      <c r="I10" s="558">
        <f t="shared" si="0"/>
        <v>0</v>
      </c>
      <c r="J10" s="558">
        <f t="shared" si="0"/>
        <v>4341.1764705882342</v>
      </c>
      <c r="K10" s="558">
        <f t="shared" si="0"/>
        <v>0</v>
      </c>
      <c r="L10" s="558">
        <f t="shared" si="0"/>
        <v>0</v>
      </c>
      <c r="M10" s="965"/>
      <c r="N10" s="965"/>
      <c r="O10" s="559">
        <f>SUM(O4:O9)</f>
        <v>2214.7517647058821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18585.000000000004</v>
      </c>
      <c r="C17" s="574">
        <f>B51</f>
        <v>15663.025210084035</v>
      </c>
      <c r="D17" s="575"/>
      <c r="E17" s="575">
        <f>E51</f>
        <v>0</v>
      </c>
      <c r="F17" s="576"/>
      <c r="G17" s="577"/>
      <c r="H17" s="574">
        <f>I51</f>
        <v>0</v>
      </c>
      <c r="I17" s="575">
        <f>G51+F51</f>
        <v>0</v>
      </c>
      <c r="J17" s="575">
        <f>H51+D51+C51</f>
        <v>6201.680672268908</v>
      </c>
      <c r="K17" s="575"/>
      <c r="L17" s="575"/>
      <c r="M17" s="575"/>
      <c r="N17" s="966"/>
      <c r="O17" s="578">
        <f>C17*$C$22+E17*$E$22+H17*$H$22+I17*$I$22+J17*$J$22+D17*$D$22+F17*$F$22+G17*$G$22+K17*$K$22+L17*$L$22</f>
        <v>3163.9310924369752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18585.000000000004</v>
      </c>
      <c r="C20" s="557">
        <f>SUM(C17:C19)</f>
        <v>15663.025210084035</v>
      </c>
      <c r="D20" s="557">
        <f t="shared" ref="D20:L20" si="1">SUM(D17:D19)</f>
        <v>0</v>
      </c>
      <c r="E20" s="557">
        <f t="shared" si="1"/>
        <v>0</v>
      </c>
      <c r="F20" s="557">
        <f t="shared" si="1"/>
        <v>0</v>
      </c>
      <c r="G20" s="557">
        <f t="shared" si="1"/>
        <v>0</v>
      </c>
      <c r="H20" s="557">
        <f t="shared" si="1"/>
        <v>0</v>
      </c>
      <c r="I20" s="557">
        <f t="shared" si="1"/>
        <v>0</v>
      </c>
      <c r="J20" s="557">
        <f t="shared" si="1"/>
        <v>6201.680672268908</v>
      </c>
      <c r="K20" s="557">
        <f t="shared" si="1"/>
        <v>0</v>
      </c>
      <c r="L20" s="557">
        <f t="shared" si="1"/>
        <v>0</v>
      </c>
      <c r="M20" s="557"/>
      <c r="N20" s="557"/>
      <c r="O20" s="583">
        <f>SUM(O17:O19)</f>
        <v>3163.9310924369752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46024</v>
      </c>
      <c r="C28" s="785">
        <v>9190</v>
      </c>
      <c r="D28" s="635" t="s">
        <v>906</v>
      </c>
      <c r="E28" s="634" t="s">
        <v>907</v>
      </c>
      <c r="F28" s="634" t="s">
        <v>908</v>
      </c>
      <c r="G28" s="634" t="s">
        <v>909</v>
      </c>
      <c r="H28" s="634" t="s">
        <v>910</v>
      </c>
      <c r="I28" s="634" t="s">
        <v>907</v>
      </c>
      <c r="J28" s="784">
        <v>39904</v>
      </c>
      <c r="K28" s="784">
        <v>39913</v>
      </c>
      <c r="L28" s="634" t="s">
        <v>911</v>
      </c>
      <c r="M28" s="634">
        <v>1562</v>
      </c>
      <c r="N28" s="634">
        <v>7029</v>
      </c>
      <c r="O28" s="634">
        <v>10041.428571428572</v>
      </c>
      <c r="P28" s="634">
        <v>20082.857142857145</v>
      </c>
      <c r="Q28" s="634">
        <v>0</v>
      </c>
      <c r="R28" s="634">
        <v>0</v>
      </c>
      <c r="S28" s="634">
        <v>0</v>
      </c>
      <c r="T28" s="634">
        <v>0</v>
      </c>
      <c r="U28" s="634">
        <v>0</v>
      </c>
      <c r="V28" s="634">
        <v>0</v>
      </c>
      <c r="W28" s="634">
        <v>0</v>
      </c>
      <c r="X28" s="634">
        <v>10</v>
      </c>
      <c r="Y28" s="634" t="s">
        <v>111</v>
      </c>
      <c r="Z28" s="636" t="s">
        <v>111</v>
      </c>
    </row>
    <row r="29" spans="1:26" s="588" customFormat="1" ht="25.5">
      <c r="A29" s="587"/>
      <c r="B29" s="785">
        <v>46024</v>
      </c>
      <c r="C29" s="785">
        <v>9190</v>
      </c>
      <c r="D29" s="635" t="s">
        <v>912</v>
      </c>
      <c r="E29" s="634" t="s">
        <v>913</v>
      </c>
      <c r="F29" s="634" t="s">
        <v>914</v>
      </c>
      <c r="G29" s="634" t="s">
        <v>909</v>
      </c>
      <c r="H29" s="634" t="s">
        <v>910</v>
      </c>
      <c r="I29" s="634" t="s">
        <v>915</v>
      </c>
      <c r="J29" s="784">
        <v>40918</v>
      </c>
      <c r="K29" s="784">
        <v>40918</v>
      </c>
      <c r="L29" s="634" t="s">
        <v>916</v>
      </c>
      <c r="M29" s="634">
        <v>820</v>
      </c>
      <c r="N29" s="634">
        <v>3690</v>
      </c>
      <c r="O29" s="634">
        <v>5271.4285714285716</v>
      </c>
      <c r="P29" s="634">
        <v>0</v>
      </c>
      <c r="Q29" s="634">
        <v>0</v>
      </c>
      <c r="R29" s="634">
        <v>0</v>
      </c>
      <c r="S29" s="634">
        <v>0</v>
      </c>
      <c r="T29" s="634">
        <v>0</v>
      </c>
      <c r="U29" s="634">
        <v>0</v>
      </c>
      <c r="V29" s="634">
        <v>10542.857142857143</v>
      </c>
      <c r="W29" s="634">
        <v>0</v>
      </c>
      <c r="X29" s="634">
        <v>10</v>
      </c>
      <c r="Y29" s="634" t="s">
        <v>111</v>
      </c>
      <c r="Z29" s="636" t="s">
        <v>111</v>
      </c>
    </row>
    <row r="30" spans="1:26" s="588" customFormat="1" ht="25.5">
      <c r="A30" s="587"/>
      <c r="B30" s="785">
        <v>46024</v>
      </c>
      <c r="C30" s="785">
        <v>9190</v>
      </c>
      <c r="D30" s="635" t="s">
        <v>917</v>
      </c>
      <c r="E30" s="634" t="s">
        <v>918</v>
      </c>
      <c r="F30" s="634" t="s">
        <v>919</v>
      </c>
      <c r="G30" s="634" t="s">
        <v>909</v>
      </c>
      <c r="H30" s="634" t="s">
        <v>910</v>
      </c>
      <c r="I30" s="634" t="s">
        <v>918</v>
      </c>
      <c r="J30" s="784">
        <v>41516</v>
      </c>
      <c r="K30" s="784">
        <v>41526</v>
      </c>
      <c r="L30" s="634" t="s">
        <v>911</v>
      </c>
      <c r="M30" s="634">
        <v>509</v>
      </c>
      <c r="N30" s="634">
        <v>2290.5</v>
      </c>
      <c r="O30" s="634">
        <v>3272.1428571428573</v>
      </c>
      <c r="P30" s="634">
        <v>6544.2857142857147</v>
      </c>
      <c r="Q30" s="634">
        <v>0</v>
      </c>
      <c r="R30" s="634">
        <v>0</v>
      </c>
      <c r="S30" s="634">
        <v>0</v>
      </c>
      <c r="T30" s="634">
        <v>0</v>
      </c>
      <c r="U30" s="634">
        <v>0</v>
      </c>
      <c r="V30" s="634">
        <v>0</v>
      </c>
      <c r="W30" s="634">
        <v>0</v>
      </c>
      <c r="X30" s="634">
        <v>10</v>
      </c>
      <c r="Y30" s="634" t="s">
        <v>111</v>
      </c>
      <c r="Z30" s="636" t="s">
        <v>111</v>
      </c>
    </row>
    <row r="31" spans="1:26" s="568" customFormat="1">
      <c r="A31" s="590" t="s">
        <v>274</v>
      </c>
      <c r="B31" s="591"/>
      <c r="C31" s="591"/>
      <c r="D31" s="591"/>
      <c r="E31" s="591"/>
      <c r="F31" s="591"/>
      <c r="G31" s="591"/>
      <c r="H31" s="591"/>
      <c r="I31" s="591"/>
      <c r="J31" s="591"/>
      <c r="K31" s="591"/>
      <c r="L31" s="592"/>
      <c r="M31" s="592">
        <f>SUM(M28:M30)</f>
        <v>2891</v>
      </c>
      <c r="N31" s="592">
        <f>SUM(N28:N30)</f>
        <v>13009.5</v>
      </c>
      <c r="O31" s="592">
        <f>SUM(O28:O30)</f>
        <v>18585.000000000004</v>
      </c>
      <c r="P31" s="592">
        <f>SUM(P28:P30)</f>
        <v>26627.142857142859</v>
      </c>
      <c r="Q31" s="592">
        <f>SUM(Q28:Q30)</f>
        <v>0</v>
      </c>
      <c r="R31" s="592">
        <f>SUM(R28:R30)</f>
        <v>0</v>
      </c>
      <c r="S31" s="592">
        <f>SUM(S28:S30)</f>
        <v>0</v>
      </c>
      <c r="T31" s="592">
        <f>SUM(T28:T30)</f>
        <v>0</v>
      </c>
      <c r="U31" s="592">
        <f>SUM(U28:U30)</f>
        <v>0</v>
      </c>
      <c r="V31" s="592">
        <f>SUM(V28:V30)</f>
        <v>10542.857142857143</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0</v>
      </c>
      <c r="N33" s="592">
        <f ca="1">SUMIF($Z$28:AD30,"tertiair",N28:N30)</f>
        <v>0</v>
      </c>
      <c r="O33" s="592">
        <f ca="1">SUMIF($Z$28:AE30,"tertiair",O28:O30)</f>
        <v>0</v>
      </c>
      <c r="P33" s="592">
        <f ca="1">SUMIF($Z$28:AF30,"tertiair",P28:P30)</f>
        <v>0</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2891</v>
      </c>
      <c r="N34" s="597">
        <f>SUMIF($Z$28:$Z$30,"landbouw",N28:N30)</f>
        <v>13009.5</v>
      </c>
      <c r="O34" s="597">
        <f>SUMIF($Z$28:$Z$30,"landbouw",O28:O30)</f>
        <v>18585.000000000004</v>
      </c>
      <c r="P34" s="597">
        <f>SUMIF($Z$28:$Z$30,"landbouw",P28:P30)</f>
        <v>26627.142857142859</v>
      </c>
      <c r="Q34" s="597">
        <f>SUMIF($Z$28:$Z$30,"landbouw",Q28:Q30)</f>
        <v>0</v>
      </c>
      <c r="R34" s="597">
        <f>SUMIF($Z$28:$Z$30,"landbouw",R28:R30)</f>
        <v>0</v>
      </c>
      <c r="S34" s="597">
        <f>SUMIF($Z$28:$Z$30,"landbouw",S28:S30)</f>
        <v>0</v>
      </c>
      <c r="T34" s="597">
        <f>SUMIF($Z$28:$Z$30,"landbouw",T28:T30)</f>
        <v>0</v>
      </c>
      <c r="U34" s="597">
        <f>SUMIF($Z$28:$Z$30,"landbouw",U28:U30)</f>
        <v>0</v>
      </c>
      <c r="V34" s="597">
        <f>SUMIF($Z$28:$Z$30,"landbouw",V28:V30)</f>
        <v>10542.857142857143</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12.75">
      <c r="A37" s="589"/>
      <c r="B37" s="785"/>
      <c r="C37" s="785"/>
      <c r="D37" s="637"/>
      <c r="E37" s="637"/>
      <c r="F37" s="637"/>
      <c r="G37" s="637"/>
      <c r="H37" s="637"/>
      <c r="I37" s="637"/>
      <c r="J37" s="784"/>
      <c r="K37" s="784"/>
      <c r="L37" s="637"/>
      <c r="M37" s="637"/>
      <c r="N37" s="637"/>
      <c r="O37" s="637"/>
      <c r="P37" s="637"/>
      <c r="Q37" s="637"/>
      <c r="R37" s="637"/>
      <c r="S37" s="637"/>
      <c r="T37" s="637"/>
      <c r="U37" s="637"/>
      <c r="V37" s="637"/>
      <c r="W37" s="637"/>
      <c r="X37" s="637"/>
      <c r="Y37" s="637"/>
      <c r="Z37" s="638"/>
    </row>
    <row r="38" spans="1:27" s="568" customFormat="1">
      <c r="A38" s="590" t="s">
        <v>274</v>
      </c>
      <c r="B38" s="591"/>
      <c r="C38" s="591"/>
      <c r="D38" s="591"/>
      <c r="E38" s="591"/>
      <c r="F38" s="591"/>
      <c r="G38" s="591"/>
      <c r="H38" s="591"/>
      <c r="I38" s="591"/>
      <c r="J38" s="591"/>
      <c r="K38" s="591"/>
      <c r="L38" s="592"/>
      <c r="M38" s="592">
        <f>SUM(M37:M37)</f>
        <v>0</v>
      </c>
      <c r="N38" s="592">
        <f>SUM(N37:N37)</f>
        <v>0</v>
      </c>
      <c r="O38" s="592">
        <f>SUM(O37:O37)</f>
        <v>0</v>
      </c>
      <c r="P38" s="592">
        <f>SUM(P37:P37)</f>
        <v>0</v>
      </c>
      <c r="Q38" s="592">
        <f>SUM(Q37:Q37)</f>
        <v>0</v>
      </c>
      <c r="R38" s="592">
        <f>SUM(R37:R37)</f>
        <v>0</v>
      </c>
      <c r="S38" s="592">
        <f>SUM(S37:S37)</f>
        <v>0</v>
      </c>
      <c r="T38" s="592">
        <f>SUM(T37:T37)</f>
        <v>0</v>
      </c>
      <c r="U38" s="592">
        <f>SUM(U37:U37)</f>
        <v>0</v>
      </c>
      <c r="V38" s="592">
        <f>SUM(V37:V37)</f>
        <v>0</v>
      </c>
      <c r="W38" s="592">
        <f>SUM(W37:W37)</f>
        <v>0</v>
      </c>
      <c r="X38" s="593"/>
      <c r="Y38" s="593"/>
      <c r="Z38" s="594"/>
    </row>
    <row r="39" spans="1:27" s="568" customFormat="1">
      <c r="A39" s="590" t="s">
        <v>281</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282</v>
      </c>
      <c r="B40" s="591"/>
      <c r="C40" s="591"/>
      <c r="D40" s="591"/>
      <c r="E40" s="591"/>
      <c r="F40" s="591"/>
      <c r="G40" s="591"/>
      <c r="H40" s="591"/>
      <c r="I40" s="591"/>
      <c r="J40" s="591"/>
      <c r="K40" s="591"/>
      <c r="L40" s="592"/>
      <c r="M40" s="592">
        <f>SUMIF($Z$37:$Z$38,"tertiair",M37:M38)</f>
        <v>0</v>
      </c>
      <c r="N40" s="592">
        <f>SUMIF($Z$37:$Z$38,"tertiair",N37:N38)</f>
        <v>0</v>
      </c>
      <c r="O40" s="592">
        <f>SUMIF($Z$37:$Z$38,"tertiair",O37:O38)</f>
        <v>0</v>
      </c>
      <c r="P40" s="592">
        <f>SUMIF($Z$37:$Z$38,"tertiair",P37:P38)</f>
        <v>0</v>
      </c>
      <c r="Q40" s="592">
        <f>SUMIF($Z$37:$Z$38,"tertiair",Q37:Q38)</f>
        <v>0</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283</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276</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277</v>
      </c>
      <c r="C46" s="614" t="s">
        <v>278</v>
      </c>
      <c r="D46" s="614"/>
      <c r="E46" s="614"/>
      <c r="F46" s="614"/>
      <c r="G46" s="614"/>
      <c r="H46" s="614"/>
      <c r="I46" s="615"/>
      <c r="J46" s="614"/>
      <c r="K46" s="614"/>
      <c r="L46" s="614"/>
      <c r="M46" s="614"/>
      <c r="N46" s="614"/>
      <c r="O46" s="614"/>
      <c r="P46" s="609"/>
    </row>
    <row r="47" spans="1:27">
      <c r="A47" s="611" t="s">
        <v>274</v>
      </c>
      <c r="B47" s="616">
        <f>IF(ISERROR(O31/(O31+N31)),0,O31/(O31+N31))</f>
        <v>0.58823529411764708</v>
      </c>
      <c r="C47" s="617">
        <f>IF(ISERROR(N31/(O31+N31)),0,N31/(N31+O31))</f>
        <v>0.41176470588235287</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517</v>
      </c>
      <c r="C49" s="624" t="s">
        <v>102</v>
      </c>
      <c r="D49" s="624" t="s">
        <v>103</v>
      </c>
      <c r="E49" s="624" t="s">
        <v>104</v>
      </c>
      <c r="F49" s="624" t="s">
        <v>105</v>
      </c>
      <c r="G49" s="624" t="s">
        <v>106</v>
      </c>
      <c r="H49" s="624" t="s">
        <v>107</v>
      </c>
      <c r="I49" s="625" t="s">
        <v>108</v>
      </c>
      <c r="J49" s="614"/>
      <c r="K49" s="614"/>
      <c r="L49" s="622"/>
      <c r="M49" s="622"/>
      <c r="N49" s="622"/>
      <c r="O49" s="609"/>
      <c r="P49" s="609"/>
    </row>
    <row r="50" spans="1:16">
      <c r="A50" s="613" t="s">
        <v>279</v>
      </c>
      <c r="B50" s="626">
        <f t="shared" ref="B50:I50" si="2">$C$47*P31</f>
        <v>10964.117647058822</v>
      </c>
      <c r="C50" s="626">
        <f t="shared" si="2"/>
        <v>0</v>
      </c>
      <c r="D50" s="626">
        <f t="shared" si="2"/>
        <v>0</v>
      </c>
      <c r="E50" s="626">
        <f t="shared" si="2"/>
        <v>0</v>
      </c>
      <c r="F50" s="626">
        <f t="shared" si="2"/>
        <v>0</v>
      </c>
      <c r="G50" s="626">
        <f t="shared" si="2"/>
        <v>0</v>
      </c>
      <c r="H50" s="626">
        <f t="shared" si="2"/>
        <v>4341.1764705882342</v>
      </c>
      <c r="I50" s="627">
        <f t="shared" si="2"/>
        <v>0</v>
      </c>
      <c r="J50" s="584"/>
      <c r="K50" s="584"/>
      <c r="L50" s="622"/>
      <c r="M50" s="622"/>
      <c r="N50" s="622"/>
      <c r="O50" s="609"/>
      <c r="P50" s="609"/>
    </row>
    <row r="51" spans="1:16" ht="15.75" thickBot="1">
      <c r="A51" s="628" t="s">
        <v>280</v>
      </c>
      <c r="B51" s="629">
        <f t="shared" ref="B51:I51" si="3">$B$47*P31</f>
        <v>15663.025210084035</v>
      </c>
      <c r="C51" s="629">
        <f t="shared" si="3"/>
        <v>0</v>
      </c>
      <c r="D51" s="629">
        <f t="shared" si="3"/>
        <v>0</v>
      </c>
      <c r="E51" s="629">
        <f t="shared" si="3"/>
        <v>0</v>
      </c>
      <c r="F51" s="629">
        <f t="shared" si="3"/>
        <v>0</v>
      </c>
      <c r="G51" s="629">
        <f t="shared" si="3"/>
        <v>0</v>
      </c>
      <c r="H51" s="629">
        <f t="shared" si="3"/>
        <v>6201.680672268908</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2021-06-29T15:32:30Z</dcterms:modified>
</cp:coreProperties>
</file>