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45"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54" i="18" l="1"/>
  <c r="V54" i="18"/>
  <c r="U54" i="18"/>
  <c r="T54" i="18"/>
  <c r="S54" i="18"/>
  <c r="R54" i="18"/>
  <c r="Q54" i="18"/>
  <c r="P54" i="18"/>
  <c r="O54" i="18"/>
  <c r="N54" i="18"/>
  <c r="M54" i="18"/>
  <c r="W53" i="18"/>
  <c r="V53" i="18"/>
  <c r="U53" i="18"/>
  <c r="T53" i="18"/>
  <c r="S53" i="18"/>
  <c r="R53" i="18"/>
  <c r="Q53" i="18"/>
  <c r="P53" i="18"/>
  <c r="O53" i="18"/>
  <c r="N53" i="18"/>
  <c r="M53" i="18"/>
  <c r="W52" i="18"/>
  <c r="V52" i="18"/>
  <c r="U52" i="18"/>
  <c r="T52" i="18"/>
  <c r="S52" i="18"/>
  <c r="R52" i="18"/>
  <c r="Q52" i="18"/>
  <c r="P52" i="18"/>
  <c r="O52" i="18"/>
  <c r="N52" i="18"/>
  <c r="M52" i="18"/>
  <c r="W51" i="18"/>
  <c r="H9" i="18" s="1"/>
  <c r="M77" i="14" s="1"/>
  <c r="M9" i="59" s="1"/>
  <c r="V51" i="18"/>
  <c r="U51" i="18"/>
  <c r="I9" i="18" s="1"/>
  <c r="I77" i="14" s="1"/>
  <c r="I9" i="59" s="1"/>
  <c r="T51" i="18"/>
  <c r="S51" i="18"/>
  <c r="E9" i="18" s="1"/>
  <c r="F77" i="14" s="1"/>
  <c r="F9" i="59" s="1"/>
  <c r="R51" i="18"/>
  <c r="Q51" i="18"/>
  <c r="P51" i="18"/>
  <c r="O51" i="18"/>
  <c r="N51" i="18"/>
  <c r="B9" i="18" s="1"/>
  <c r="M51" i="18"/>
  <c r="W47" i="18"/>
  <c r="V47" i="18"/>
  <c r="U47" i="18"/>
  <c r="T47" i="18"/>
  <c r="L6" i="17" s="1"/>
  <c r="L5" i="17" s="1"/>
  <c r="S47" i="18"/>
  <c r="R47" i="18"/>
  <c r="Q47" i="18"/>
  <c r="P47" i="18"/>
  <c r="O47" i="18"/>
  <c r="N47" i="18"/>
  <c r="M47" i="18"/>
  <c r="W46" i="18"/>
  <c r="V46" i="18"/>
  <c r="U46" i="18"/>
  <c r="T46" i="18"/>
  <c r="S46" i="18"/>
  <c r="R46" i="18"/>
  <c r="Q46" i="18"/>
  <c r="P46" i="18"/>
  <c r="O46" i="18"/>
  <c r="C13" i="15" s="1"/>
  <c r="N46" i="18"/>
  <c r="M46" i="18"/>
  <c r="W45" i="18"/>
  <c r="V45" i="18"/>
  <c r="U45" i="18"/>
  <c r="T45" i="18"/>
  <c r="S45" i="18"/>
  <c r="F16" i="16" s="1"/>
  <c r="R45" i="18"/>
  <c r="Q45" i="18"/>
  <c r="P45" i="18"/>
  <c r="D16" i="16" s="1"/>
  <c r="O45" i="18"/>
  <c r="N45" i="18"/>
  <c r="W44" i="18"/>
  <c r="V44" i="18"/>
  <c r="U44" i="18"/>
  <c r="T44" i="18"/>
  <c r="S44" i="18"/>
  <c r="R44" i="18"/>
  <c r="Q44" i="18"/>
  <c r="P44" i="18"/>
  <c r="O44" i="18"/>
  <c r="B17" i="18" s="1"/>
  <c r="N44" i="18"/>
  <c r="B8" i="18" s="1"/>
  <c r="M44"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13" i="15" l="1"/>
  <c r="F6" i="17"/>
  <c r="B32" i="13"/>
  <c r="E5" i="13" s="1"/>
  <c r="B36" i="13"/>
  <c r="F5" i="13" s="1"/>
  <c r="B35" i="13"/>
  <c r="C35" i="13" s="1"/>
  <c r="J5" i="13" s="1"/>
  <c r="B34" i="13"/>
  <c r="N5" i="13" s="1"/>
  <c r="B33" i="13"/>
  <c r="P5" i="13"/>
  <c r="P8" i="13" s="1"/>
  <c r="Q11" i="14"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60" i="18"/>
  <c r="B64" i="18" s="1"/>
  <c r="B16" i="16"/>
  <c r="K9" i="14"/>
  <c r="H77" i="14"/>
  <c r="J11" i="48"/>
  <c r="J29" i="48" s="1"/>
  <c r="M9" i="14"/>
  <c r="L11" i="48"/>
  <c r="O19" i="14"/>
  <c r="O22" i="14" s="1"/>
  <c r="N10" i="48"/>
  <c r="N28" i="48" s="1"/>
  <c r="J19" i="14"/>
  <c r="J22" i="14" s="1"/>
  <c r="I10" i="48"/>
  <c r="I28" i="48" s="1"/>
  <c r="J19" i="19"/>
  <c r="K39" i="14" s="1"/>
  <c r="N19" i="19"/>
  <c r="O39" i="14" s="1"/>
  <c r="C60" i="18"/>
  <c r="I63"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63" i="18"/>
  <c r="E8" i="18" s="1"/>
  <c r="F76" i="14" s="1"/>
  <c r="F7" i="48"/>
  <c r="F25" i="48" s="1"/>
  <c r="D63" i="18"/>
  <c r="O9" i="18"/>
  <c r="M29" i="48"/>
  <c r="F12" i="17"/>
  <c r="G54" i="14" s="1"/>
  <c r="G56" i="14" s="1"/>
  <c r="C64" i="18"/>
  <c r="C63" i="18"/>
  <c r="B10" i="18"/>
  <c r="E64" i="18"/>
  <c r="E17" i="18" s="1"/>
  <c r="F87" i="14" s="1"/>
  <c r="G64" i="18"/>
  <c r="D7" i="48"/>
  <c r="D25" i="48" s="1"/>
  <c r="H63" i="18"/>
  <c r="G63" i="18"/>
  <c r="D64" i="18"/>
  <c r="L28" i="48"/>
  <c r="H64" i="18"/>
  <c r="I64" i="18"/>
  <c r="H17" i="18" s="1"/>
  <c r="F64" i="18"/>
  <c r="F63" i="18"/>
  <c r="H10" i="18"/>
  <c r="M78" i="14"/>
  <c r="B63"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2" i="59"/>
  <c r="C56" i="22"/>
  <c r="C58" i="22" s="1"/>
  <c r="D49" i="14" s="1"/>
  <c r="D52" i="14" s="1"/>
  <c r="C20" i="16"/>
  <c r="C22" i="16" s="1"/>
  <c r="D43" i="14" s="1"/>
  <c r="C10" i="17"/>
  <c r="C12" i="17" s="1"/>
  <c r="D54" i="14" s="1"/>
  <c r="D56" i="14" s="1"/>
  <c r="C29" i="20"/>
  <c r="C17" i="19"/>
  <c r="C19" i="19" s="1"/>
  <c r="D39" i="14" s="1"/>
  <c r="C10" i="13"/>
  <c r="C12" i="13" s="1"/>
  <c r="C18" i="15"/>
  <c r="C20" i="15" s="1"/>
  <c r="D40"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<sst xmlns="http://schemas.openxmlformats.org/spreadsheetml/2006/main" count="2625" uniqueCount="963">
  <si>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</si>
  <si>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</si>
  <si>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</si>
  <si>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</si>
  <si>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</si>
  <si>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</si>
  <si>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</si>
  <si>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</si>
  <si>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</si>
  <si>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</si>
  <si>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</si>
  <si>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</si>
  <si>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</si>
  <si>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</si>
  <si>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</si>
  <si>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</si>
  <si>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</si>
  <si>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</si>
  <si>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</si>
  <si>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</si>
  <si>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</si>
  <si>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</si>
  <si>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</si>
  <si>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</si>
  <si>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</si>
  <si>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</si>
  <si>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</si>
  <si>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</si>
  <si>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</si>
  <si>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</si>
  <si>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</si>
  <si>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</si>
  <si>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</si>
  <si>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</si>
  <si>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</si>
  <si>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</si>
  <si>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</si>
  <si>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</si>
  <si>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</si>
  <si>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</si>
  <si>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</si>
  <si>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</si>
  <si>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</si>
  <si>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</si>
  <si>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</si>
  <si>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</si>
  <si>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</si>
  <si>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</si>
  <si>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</si>
  <si>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</si>
  <si>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</si>
  <si>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</si>
  <si>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</si>
  <si>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</si>
  <si>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</si>
  <si>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</si>
  <si>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</si>
  <si>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</si>
  <si>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</si>
  <si>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</si>
  <si>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</si>
  <si>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</si>
  <si>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</si>
  <si>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</si>
  <si>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</si>
  <si>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</si>
  <si>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</si>
  <si>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</si>
  <si>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</si>
  <si>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</si>
  <si>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</si>
  <si>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</si>
  <si>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</si>
  <si>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</si>
  <si>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</si>
  <si>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</si>
  <si>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</si>
  <si>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</si>
  <si>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</si>
  <si>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</si>
  <si>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</si>
  <si>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</si>
  <si>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</si>
  <si>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</si>
  <si>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</si>
  <si>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</si>
  <si>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</si>
  <si>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</si>
  <si>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</si>
  <si>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</si>
  <si>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</si>
  <si>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</si>
  <si>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</si>
  <si>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</si>
  <si>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</si>
  <si>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</si>
  <si>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</si>
  <si>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</si>
  <si>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</si>
  <si>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</si>
  <si>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</si>
  <si>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</si>
  <si>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</si>
  <si>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</si>
  <si>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</si>
  <si>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</si>
  <si>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</si>
  <si>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</si>
  <si>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</si>
  <si>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</si>
  <si>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</si>
  <si>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</si>
  <si>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</si>
  <si>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</si>
  <si>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</si>
  <si>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</si>
  <si>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</si>
  <si>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</si>
  <si>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</si>
  <si>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</si>
  <si>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</si>
  <si>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</si>
  <si>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</si>
  <si>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</si>
  <si>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</si>
  <si>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</si>
  <si>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</si>
  <si>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</si>
  <si>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</si>
  <si>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</si>
  <si>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</si>
  <si>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</si>
  <si>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</si>
  <si>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</si>
  <si>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</si>
  <si>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</si>
  <si>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</si>
  <si>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</si>
  <si>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</si>
  <si>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</si>
  <si>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</si>
  <si>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</si>
  <si>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</si>
  <si>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</si>
  <si>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</si>
  <si>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</si>
  <si>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</si>
  <si>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</si>
  <si>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</si>
  <si>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</si>
  <si>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</si>
  <si>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</si>
  <si>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</si>
  <si>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</si>
  <si>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</si>
  <si>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</si>
  <si>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</si>
  <si>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</si>
  <si>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</si>
  <si>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</si>
  <si>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</si>
  <si>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</si>
  <si>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</si>
  <si>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</si>
  <si>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</si>
  <si>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</si>
  <si>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</si>
  <si>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</si>
  <si>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</si>
  <si>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</si>
  <si>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</si>
  <si>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</si>
  <si>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</si>
  <si>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</si>
  <si>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</si>
  <si>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</si>
  <si>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</si>
  <si>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</si>
  <si>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</si>
  <si>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</si>
  <si>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</si>
  <si>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</si>
  <si>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</si>
  <si>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</si>
  <si>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</si>
  <si>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</si>
  <si>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</si>
  <si>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</si>
  <si>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</si>
  <si>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</si>
  <si>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</si>
  <si>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</si>
  <si>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</si>
  <si>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</si>
  <si>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</si>
  <si>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</si>
  <si>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</si>
  <si>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</si>
  <si>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</si>
  <si>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</si>
  <si>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</si>
  <si>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</si>
  <si>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</si>
  <si>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</si>
  <si>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</si>
  <si>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</si>
  <si>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</si>
  <si>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</si>
  <si>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</si>
  <si>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</si>
  <si>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</si>
  <si>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</si>
  <si>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</si>
  <si>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</si>
  <si>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</si>
  <si>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</si>
  <si>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</si>
  <si>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</si>
  <si>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</si>
  <si>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</si>
  <si>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</si>
  <si>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</si>
  <si>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</si>
  <si>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</si>
  <si>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</si>
  <si>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</si>
  <si>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</si>
  <si>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</si>
  <si>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</si>
  <si>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</si>
  <si>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</si>
  <si>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</si>
  <si>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</si>
  <si>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</si>
  <si>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</si>
  <si>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</si>
  <si>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</si>
  <si>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</si>
  <si>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</si>
  <si>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</si>
  <si>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</si>
  <si>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</si>
  <si>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</si>
  <si>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</si>
  <si>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</si>
  <si>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</si>
  <si>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</si>
  <si>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</si>
  <si>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</si>
  <si>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</si>
  <si>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</si>
  <si>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</si>
  <si>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</si>
  <si>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</si>
  <si>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</si>
  <si>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</si>
  <si>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</si>
  <si>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</si>
  <si>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</si>
  <si>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</si>
  <si>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</si>
  <si>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</si>
  <si>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</si>
  <si>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</si>
  <si>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</si>
  <si>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</si>
  <si>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</si>
  <si>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</si>
  <si>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</si>
  <si>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</si>
  <si>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</si>
  <si>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</si>
  <si>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</si>
  <si>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</si>
  <si>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</si>
  <si>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</si>
  <si>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</si>
  <si>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</si>
  <si>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</si>
  <si>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</si>
  <si>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</si>
  <si>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</si>
  <si>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</si>
  <si>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</si>
  <si>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</si>
  <si>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</si>
  <si>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</si>
  <si>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</si>
  <si>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</si>
  <si>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</si>
  <si>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</si>
  <si>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</si>
  <si>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</si>
  <si>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</si>
  <si>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</si>
  <si>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</si>
  <si>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</si>
  <si>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</si>
  <si>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</si>
  <si>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</si>
  <si>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</si>
  <si>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</si>
  <si>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</si>
  <si>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</si>
  <si>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</si>
  <si>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</si>
  <si>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</si>
  <si>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</si>
  <si>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</si>
  <si>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</si>
  <si>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</si>
  <si>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</si>
  <si>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</si>
  <si>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</si>
  <si>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</si>
  <si>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</si>
  <si>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</si>
  <si>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</si>
  <si>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</si>
  <si>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</si>
  <si>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</si>
  <si>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</si>
  <si>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</si>
  <si>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</si>
  <si>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</si>
  <si>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</si>
  <si>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</si>
  <si>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</si>
  <si>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</si>
  <si>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</si>
  <si>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</si>
  <si>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</si>
  <si>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</si>
  <si>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</si>
  <si>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</si>
  <si>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</si>
  <si>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</si>
  <si>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</si>
  <si>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</si>
  <si>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</si>
  <si>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</si>
  <si>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</si>
  <si>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</si>
  <si>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</si>
  <si>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</si>
  <si>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</si>
  <si>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</si>
  <si>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</si>
  <si>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</si>
  <si>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</si>
  <si>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</si>
  <si>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</si>
  <si>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</si>
  <si>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</si>
  <si>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</si>
  <si>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</si>
  <si>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</si>
  <si>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</si>
  <si>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</si>
  <si>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</si>
  <si>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</si>
  <si>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</si>
  <si>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</si>
  <si>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</si>
  <si>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</si>
  <si>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</si>
  <si>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</si>
  <si>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</si>
  <si>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</si>
  <si>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</si>
  <si>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</si>
  <si>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</si>
  <si>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</si>
  <si>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</si>
  <si>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</si>
  <si>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</si>
  <si>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</si>
  <si>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</si>
  <si>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</si>
  <si>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</si>
  <si>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</si>
  <si>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</si>
  <si>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</si>
  <si>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</si>
  <si>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</si>
  <si>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</si>
  <si>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</si>
  <si>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</si>
  <si>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</si>
  <si>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</si>
  <si>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</si>
  <si>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</si>
  <si>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</si>
  <si>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</si>
  <si>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</si>
  <si>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</si>
  <si>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</si>
  <si>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</si>
  <si>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</si>
  <si>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</si>
  <si>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</si>
  <si>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</si>
  <si>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</si>
  <si>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</si>
  <si>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</si>
  <si>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</si>
  <si>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</si>
  <si>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</si>
  <si>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</si>
  <si>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</si>
  <si>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</si>
  <si>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</si>
  <si>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</si>
  <si>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</si>
  <si>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</si>
  <si>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</si>
  <si>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</si>
  <si>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</si>
  <si>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</si>
  <si>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</si>
  <si>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</si>
  <si>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</si>
  <si>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</si>
  <si>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</si>
  <si>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</si>
  <si>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</si>
  <si>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</si>
  <si>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</si>
  <si>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</si>
  <si>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</si>
  <si>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</si>
  <si>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</si>
  <si>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</si>
  <si>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</si>
  <si>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</si>
  <si>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</si>
  <si>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</si>
  <si>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</si>
  <si>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</si>
  <si>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</si>
  <si>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</si>
  <si>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</si>
  <si>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</si>
  <si>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</si>
  <si>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</si>
  <si>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</si>
  <si>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</si>
  <si>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</si>
  <si>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</si>
  <si>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</si>
  <si>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</si>
  <si>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</si>
  <si>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</si>
  <si>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</si>
  <si>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</si>
  <si>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</si>
  <si>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</si>
  <si>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</si>
  <si>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</si>
  <si>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</si>
  <si>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</si>
  <si>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</si>
  <si>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</si>
  <si>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</si>
  <si>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</si>
  <si>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</si>
  <si>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</si>
  <si>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</si>
  <si>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</si>
  <si>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</si>
  <si>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</si>
  <si>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</si>
  <si>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</si>
  <si>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</si>
  <si>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</si>
  <si>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</si>
  <si>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</si>
  <si>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</si>
  <si>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</si>
  <si>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</si>
  <si>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</si>
  <si>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</si>
  <si>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</si>
  <si>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</si>
  <si>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</si>
  <si>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</si>
  <si>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</si>
  <si>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</si>
  <si>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</si>
  <si>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</si>
  <si>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</si>
  <si>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</si>
  <si>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</si>
  <si>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</si>
  <si>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</si>
  <si>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</si>
  <si>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</si>
  <si>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</si>
  <si>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</si>
  <si>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</si>
  <si>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</si>
  <si>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</si>
  <si>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</si>
  <si>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</si>
  <si>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</si>
  <si>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</si>
  <si>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</si>
  <si>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</si>
  <si>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</si>
  <si>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</si>
  <si>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</si>
  <si>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</si>
  <si>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</si>
  <si>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</si>
  <si>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</si>
  <si>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</si>
  <si>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</si>
  <si>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</si>
  <si>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</si>
  <si>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</si>
  <si>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</si>
  <si>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</si>
  <si>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</si>
  <si>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</si>
  <si>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</si>
  <si>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</si>
  <si>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</si>
  <si>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</si>
  <si>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</si>
  <si>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</si>
  <si>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</si>
  <si>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</si>
  <si>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</si>
  <si>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</si>
  <si>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</si>
  <si>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</si>
  <si>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</si>
  <si>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</si>
  <si>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</si>
  <si>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</si>
  <si>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</si>
  <si>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</si>
  <si>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</si>
  <si>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</si>
  <si>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</si>
  <si>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</si>
  <si>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</si>
  <si>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</si>
  <si>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</si>
  <si>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</si>
  <si>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</si>
  <si>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</si>
  <si>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</si>
  <si>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</si>
  <si>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</si>
  <si>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</si>
  <si>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</si>
  <si>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</si>
  <si>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</si>
  <si>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</si>
  <si>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</si>
  <si>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</si>
  <si>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</si>
  <si>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</si>
  <si>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</si>
  <si>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</si>
  <si>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</si>
  <si>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</si>
  <si>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</si>
  <si>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</si>
  <si>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</si>
  <si>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</si>
  <si>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</si>
  <si>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</si>
  <si>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</si>
  <si>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</si>
  <si>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</si>
  <si>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</si>
  <si>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</si>
  <si>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</si>
  <si>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</si>
  <si>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</si>
  <si>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</si>
  <si>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</si>
  <si>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</si>
  <si>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</si>
  <si>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</si>
  <si>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</si>
  <si>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</si>
  <si>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</si>
  <si>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</si>
  <si>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</si>
  <si>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</si>
  <si>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</si>
  <si>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</si>
  <si>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</si>
  <si>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</si>
  <si>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</si>
  <si>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</si>
  <si>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</si>
  <si>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</si>
  <si>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</si>
  <si>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</si>
  <si>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</si>
  <si>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</si>
  <si>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</si>
  <si>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</si>
  <si>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</si>
  <si>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</si>
  <si>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</si>
  <si>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</si>
  <si>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</si>
  <si>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</si>
  <si>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</si>
  <si>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</si>
  <si>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</si>
  <si>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</si>
  <si>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</si>
  <si>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</si>
  <si>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</si>
  <si>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</si>
  <si>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</si>
  <si>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</si>
  <si>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</si>
  <si>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</si>
  <si>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</si>
  <si>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</si>
  <si>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</si>
  <si>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</si>
  <si>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</si>
  <si>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</si>
  <si>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</si>
  <si>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</si>
  <si>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</si>
  <si>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</si>
  <si>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</si>
  <si>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</si>
  <si>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</si>
  <si>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</si>
  <si>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</si>
  <si>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</si>
  <si>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</si>
  <si>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</si>
  <si>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</si>
  <si>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</si>
  <si>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</si>
  <si>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</si>
  <si>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</si>
  <si>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</si>
  <si>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</si>
  <si>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</si>
  <si>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</si>
  <si>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</si>
  <si>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</si>
  <si>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</si>
  <si>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</si>
  <si>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</si>
  <si>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</si>
  <si>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</si>
  <si>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</si>
  <si>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</si>
  <si>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</si>
  <si>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</si>
  <si>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</si>
  <si>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</si>
  <si>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</si>
  <si>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</si>
  <si>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</si>
  <si>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</si>
  <si>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</si>
  <si>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</si>
  <si>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</si>
  <si>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</si>
  <si>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</si>
  <si>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</si>
  <si>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</si>
  <si>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</si>
  <si>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</si>
  <si>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</si>
  <si>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</si>
  <si>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</si>
  <si>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</si>
  <si>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</si>
  <si>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</si>
  <si>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</si>
  <si>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</si>
  <si>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</si>
  <si>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</si>
  <si>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</si>
  <si>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</si>
  <si>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</si>
  <si>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</si>
  <si>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</si>
  <si>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</si>
  <si>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</si>
  <si>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</si>
  <si>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</si>
  <si>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</si>
  <si>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</si>
  <si>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</si>
  <si>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</si>
  <si>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</si>
  <si>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</si>
  <si>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</si>
  <si>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</si>
  <si>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</si>
  <si>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</si>
  <si>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</si>
  <si>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</si>
  <si>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</si>
  <si>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</si>
  <si>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</si>
  <si>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</si>
  <si>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</si>
  <si>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</si>
  <si>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</si>
  <si>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</si>
  <si>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</si>
  <si>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</si>
  <si>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</si>
  <si>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</si>
  <si>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</si>
  <si>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</si>
  <si>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</si>
  <si>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</si>
  <si>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</si>
  <si>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</si>
  <si>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</si>
  <si>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</si>
  <si>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</si>
  <si>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</si>
  <si>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</si>
  <si>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</si>
  <si>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</si>
  <si>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</si>
  <si>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</si>
  <si>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</si>
  <si>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</si>
  <si>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</si>
  <si>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</si>
  <si>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</si>
  <si>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</si>
  <si>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</si>
  <si>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</si>
  <si>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</si>
  <si>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</si>
  <si>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</si>
  <si>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</si>
  <si>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</si>
  <si>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</si>
  <si>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</si>
  <si>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</si>
  <si>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</si>
  <si>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</si>
  <si>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</si>
  <si>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</si>
  <si>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</si>
  <si>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</si>
  <si>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</si>
  <si>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</si>
  <si>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</si>
  <si>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</si>
  <si>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</si>
  <si>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</si>
  <si>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</si>
  <si>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</si>
  <si>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</si>
  <si>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</si>
  <si>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</si>
  <si>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</si>
  <si>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</si>
  <si>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</si>
  <si>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</si>
  <si>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</si>
  <si>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</si>
  <si>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</si>
  <si>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</si>
  <si>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</si>
  <si>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</si>
  <si>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</si>
  <si>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</si>
  <si>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</si>
  <si>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</si>
  <si>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</si>
  <si>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</si>
  <si>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</si>
  <si>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</si>
  <si>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</si>
  <si>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</si>
  <si>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</si>
  <si>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</si>
  <si>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</si>
  <si>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</si>
  <si>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</si>
  <si>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</si>
  <si>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</si>
  <si>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</si>
  <si>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</si>
  <si>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</si>
  <si>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</si>
  <si>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</si>
  <si>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</si>
  <si>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</si>
  <si>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</si>
  <si>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</si>
  <si>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</si>
  <si>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</si>
  <si>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</si>
  <si>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</si>
  <si>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</si>
  <si>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</si>
  <si>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</si>
  <si>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</si>
  <si>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</si>
  <si>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</si>
  <si>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</si>
  <si>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</si>
  <si>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</si>
  <si>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</si>
  <si>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</si>
  <si>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</si>
  <si>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</si>
  <si>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</si>
  <si>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</si>
  <si>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</si>
  <si>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</si>
  <si>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</si>
  <si>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</si>
  <si>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</si>
  <si>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</si>
  <si>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</si>
  <si>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</si>
  <si>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</si>
  <si>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</si>
  <si>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</si>
  <si>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</si>
  <si>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</si>
  <si>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</si>
  <si>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</si>
  <si>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</si>
  <si>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</si>
  <si>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</si>
  <si>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</si>
  <si>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</si>
  <si>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</si>
  <si>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</si>
  <si>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</si>
  <si>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</si>
  <si>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</si>
  <si>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</si>
  <si>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</si>
  <si>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</si>
  <si>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</si>
  <si>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</si>
  <si>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</si>
  <si>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</si>
  <si>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</si>
  <si>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</si>
  <si>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</si>
  <si>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</si>
  <si>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</si>
  <si>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</si>
  <si>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</si>
  <si>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</si>
  <si>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</si>
  <si>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</si>
  <si>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</si>
  <si>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</si>
  <si>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</si>
  <si>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</si>
  <si>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</si>
  <si>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</si>
  <si>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</si>
  <si>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</si>
  <si>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</si>
  <si>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</si>
  <si>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</si>
  <si>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</si>
  <si>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</si>
  <si>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</si>
  <si>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</si>
  <si>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</si>
  <si>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</si>
  <si>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</si>
  <si>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</si>
  <si>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</si>
  <si>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</si>
  <si>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</si>
  <si>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</si>
  <si>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</si>
  <si>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</si>
  <si>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</si>
  <si>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</si>
  <si>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</si>
  <si>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</si>
  <si>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</si>
  <si>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</si>
  <si>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</si>
  <si>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</si>
  <si>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</si>
  <si>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</si>
  <si>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</si>
  <si>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</si>
  <si>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46003</t>
  </si>
  <si>
    <t>BEVEREN</t>
  </si>
  <si>
    <t>referentietaak LNE (2017); Jaarverslag De Lijn</t>
  </si>
  <si>
    <t>Van De Ven</t>
  </si>
  <si>
    <t>Dweerse Kromstraat 53, 9120 Melsele</t>
  </si>
  <si>
    <t>WKK-0091 Van De Ven</t>
  </si>
  <si>
    <t>interne verbrandingsmotor</t>
  </si>
  <si>
    <t>WKK interne verbrandinsgmotor (gas)</t>
  </si>
  <si>
    <t>INTERGEM</t>
  </si>
  <si>
    <t>Pijl LV</t>
  </si>
  <si>
    <t>Priemstraat 30, 9120 Melsele</t>
  </si>
  <si>
    <t>WKK-0119 Pijl NV</t>
  </si>
  <si>
    <t>Tomerel</t>
  </si>
  <si>
    <t>Pauwstraat 147, 9120 Melsele</t>
  </si>
  <si>
    <t>WKK-0151 Tomerel</t>
  </si>
  <si>
    <t>Biogas Boeye BVBA</t>
  </si>
  <si>
    <t>Perstraat 127 , 9120 Beveren-Waas</t>
  </si>
  <si>
    <t>WKK-0208 Biogas Boeye</t>
  </si>
  <si>
    <t>Tomaline BVBA</t>
  </si>
  <si>
    <t>Veldstraat 1A , 9120 Melsele</t>
  </si>
  <si>
    <t>WKK-0200 Tomaline</t>
  </si>
  <si>
    <t>Groeikracht Vrasene NV</t>
  </si>
  <si>
    <t>Laarstraat 1 , 9120 Vrasene</t>
  </si>
  <si>
    <t>WKK-0306 Groeikracht Vrasene</t>
  </si>
  <si>
    <t>Laarstraat 1 , 9120 Beveren-Waas</t>
  </si>
  <si>
    <t>Van der Valk Hotel Beveren nv</t>
  </si>
  <si>
    <t>Gentseweg 280 , 9120 Beveren-Waas</t>
  </si>
  <si>
    <t>WKK-0261 Van Der Valk Hotel Beveren</t>
  </si>
  <si>
    <t>Op de Beeck nv</t>
  </si>
  <si>
    <t>Molenweg Kaai 1936 , 9120 Kallo (Beveren-Waas)</t>
  </si>
  <si>
    <t>WKK-0433 Op De Beeck</t>
  </si>
  <si>
    <t>S&amp;R Beveren NV</t>
  </si>
  <si>
    <t>Pastoor Steenssensstraat 329 , 9120 Beveren-Waas</t>
  </si>
  <si>
    <t>WKK-0586 S&amp;R Beveren</t>
  </si>
  <si>
    <t>Meerminnendam 29 , 9120 Beveren-Waas</t>
  </si>
  <si>
    <t>Apers-Mertens Koen &amp; Lieve FV</t>
  </si>
  <si>
    <t>Botermelkstraat 6 , 9120 Haasdonk</t>
  </si>
  <si>
    <t>WKK-0570 Apers-Mertens</t>
  </si>
  <si>
    <t>Van Remoortel Aardappelverwerking NV</t>
  </si>
  <si>
    <t>Aven Ackers 15 b, 9130 Verrebroek</t>
  </si>
  <si>
    <t>WKK-0582 Van Remoortel</t>
  </si>
  <si>
    <t>NPG Bio II NV</t>
  </si>
  <si>
    <t>Tongersesteenweg 99 , 3770 Riemst</t>
  </si>
  <si>
    <t>WKK-0538 NPG Doel</t>
  </si>
  <si>
    <t>Sint-Antoniusweg 1700 , 9120 Kallo (Beveren-Waas)</t>
  </si>
  <si>
    <t>Elia (DNB)</t>
  </si>
  <si>
    <t>Fertikal NV</t>
  </si>
  <si>
    <t>Molenweg Haven 1938 , 9130 Kallo (Kieldrecht)</t>
  </si>
  <si>
    <t>WKK-0428 Fertikal</t>
  </si>
  <si>
    <t>Gyproc</t>
  </si>
  <si>
    <t>WKK-0640 Gyproc</t>
  </si>
  <si>
    <t>Sint-Jansweg 9 / Haven 1602, 9130 Kallo, BE</t>
  </si>
  <si>
    <t>INTERGEM (via EANDIS)</t>
  </si>
  <si>
    <t>Op de Beeck II</t>
  </si>
  <si>
    <t>WKK-0684</t>
  </si>
  <si>
    <t>Interne verbrandingsmotor</t>
  </si>
  <si>
    <t>Molenweg z/n</t>
  </si>
  <si>
    <t>Boven Yvo</t>
  </si>
  <si>
    <t>WKK-0763</t>
  </si>
  <si>
    <t>Doornpark 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</si>
</sst>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399346.50714298943</c:v>
                </c:pt>
                <c:pt idx="1">
                  <c:v>322384.97250856244</c:v>
                </c:pt>
                <c:pt idx="2">
                  <c:v>2816.0880000000002</c:v>
                </c:pt>
                <c:pt idx="3">
                  <c:v>158714.47482797288</c:v>
                </c:pt>
                <c:pt idx="4">
                  <c:v>169422.269891128</c:v>
                </c:pt>
                <c:pt idx="5">
                  <c:v>1057756.8460002269</c:v>
                </c:pt>
                <c:pt idx="6">
                  <c:v>3823.7530068292122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399346.50714298943</c:v>
                </c:pt>
                <c:pt idx="1">
                  <c:v>322384.97250856244</c:v>
                </c:pt>
                <c:pt idx="2">
                  <c:v>2816.0880000000002</c:v>
                </c:pt>
                <c:pt idx="3">
                  <c:v>158714.47482797288</c:v>
                </c:pt>
                <c:pt idx="4">
                  <c:v>169422.269891128</c:v>
                </c:pt>
                <c:pt idx="5">
                  <c:v>1057756.8460002269</c:v>
                </c:pt>
                <c:pt idx="6">
                  <c:v>3823.7530068292122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68276.082398111088</c:v>
                </c:pt>
                <c:pt idx="1">
                  <c:v>41673.823494741911</c:v>
                </c:pt>
                <c:pt idx="2">
                  <c:v>221.99285440354612</c:v>
                </c:pt>
                <c:pt idx="3">
                  <c:v>28983.930145414997</c:v>
                </c:pt>
                <c:pt idx="4">
                  <c:v>20173.826864148421</c:v>
                </c:pt>
                <c:pt idx="5">
                  <c:v>264254.75258729531</c:v>
                </c:pt>
                <c:pt idx="6">
                  <c:v>957.71269937311558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68276.082398111088</c:v>
                </c:pt>
                <c:pt idx="1">
                  <c:v>41673.823494741911</c:v>
                </c:pt>
                <c:pt idx="2">
                  <c:v>221.99285440354612</c:v>
                </c:pt>
                <c:pt idx="3">
                  <c:v>28983.930145414997</c:v>
                </c:pt>
                <c:pt idx="4">
                  <c:v>20173.826864148421</c:v>
                </c:pt>
                <c:pt idx="5">
                  <c:v>264254.75258729531</c:v>
                </c:pt>
                <c:pt idx="6">
                  <c:v>957.71269937311558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46003</v>
      </c>
      <c r="B6" s="386"/>
      <c r="C6" s="387"/>
    </row>
    <row r="7" spans="1:7" s="384" customFormat="1" ht="15.75" customHeight="1">
      <c r="A7" s="388" t="str">
        <f>txtMunicipality</f>
        <v>BEVEREN</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190153.97576599999</v>
      </c>
      <c r="D10" s="681">
        <f ca="1">tertiair!C16</f>
        <v>34563.471428571429</v>
      </c>
      <c r="E10" s="681">
        <f ca="1">tertiair!D16</f>
        <v>78408.912150452001</v>
      </c>
      <c r="F10" s="681">
        <f>tertiair!E16</f>
        <v>1750.4169340951685</v>
      </c>
      <c r="G10" s="681">
        <f ca="1">tertiair!F16</f>
        <v>19386.87524975379</v>
      </c>
      <c r="H10" s="681">
        <f>tertiair!G16</f>
        <v>0</v>
      </c>
      <c r="I10" s="681">
        <f>tertiair!H16</f>
        <v>0</v>
      </c>
      <c r="J10" s="681">
        <f>tertiair!I16</f>
        <v>0</v>
      </c>
      <c r="K10" s="681">
        <f>tertiair!J16</f>
        <v>0.16828158710970481</v>
      </c>
      <c r="L10" s="681">
        <f>tertiair!K16</f>
        <v>0</v>
      </c>
      <c r="M10" s="681">
        <f ca="1">tertiair!L16</f>
        <v>0</v>
      </c>
      <c r="N10" s="681">
        <f>tertiair!M16</f>
        <v>0</v>
      </c>
      <c r="O10" s="681">
        <f ca="1">tertiair!N16</f>
        <v>0</v>
      </c>
      <c r="P10" s="681">
        <f>tertiair!O16</f>
        <v>44.075346892570387</v>
      </c>
      <c r="Q10" s="682">
        <f>tertiair!P16</f>
        <v>893.16535121041511</v>
      </c>
      <c r="R10" s="684">
        <f ca="1">SUM(C10:Q10)</f>
        <v>325201.06050856243</v>
      </c>
      <c r="S10" s="67"/>
    </row>
    <row r="11" spans="1:19" s="444" customFormat="1">
      <c r="A11" s="802" t="s">
        <v>219</v>
      </c>
      <c r="B11" s="807"/>
      <c r="C11" s="681">
        <f>huishoudens!B8</f>
        <v>94485.65385359741</v>
      </c>
      <c r="D11" s="681">
        <f>huishoudens!C8</f>
        <v>0</v>
      </c>
      <c r="E11" s="681">
        <f>huishoudens!D8</f>
        <v>192833.29256619999</v>
      </c>
      <c r="F11" s="681">
        <f>huishoudens!E8</f>
        <v>4803.3587488303456</v>
      </c>
      <c r="G11" s="681">
        <f>huishoudens!F8</f>
        <v>77436.544978113467</v>
      </c>
      <c r="H11" s="681">
        <f>huishoudens!G8</f>
        <v>0</v>
      </c>
      <c r="I11" s="681">
        <f>huishoudens!H8</f>
        <v>0</v>
      </c>
      <c r="J11" s="681">
        <f>huishoudens!I8</f>
        <v>0</v>
      </c>
      <c r="K11" s="681">
        <f>huishoudens!J8</f>
        <v>309.35558315300472</v>
      </c>
      <c r="L11" s="681">
        <f>huishoudens!K8</f>
        <v>0</v>
      </c>
      <c r="M11" s="681">
        <f>huishoudens!L8</f>
        <v>0</v>
      </c>
      <c r="N11" s="681">
        <f>huishoudens!M8</f>
        <v>0</v>
      </c>
      <c r="O11" s="681">
        <f>huishoudens!N8</f>
        <v>26429.371166660469</v>
      </c>
      <c r="P11" s="681">
        <f>huishoudens!O8</f>
        <v>1626.8457398973662</v>
      </c>
      <c r="Q11" s="682">
        <f>huishoudens!P8</f>
        <v>1422.0845065374783</v>
      </c>
      <c r="R11" s="684">
        <f>SUM(C11:Q11)</f>
        <v>399346.50714298943</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109652.460735</v>
      </c>
      <c r="D13" s="681">
        <f>industrie!C18</f>
        <v>39728.571428571435</v>
      </c>
      <c r="E13" s="681">
        <f>industrie!D18</f>
        <v>0</v>
      </c>
      <c r="F13" s="681">
        <f>industrie!E18</f>
        <v>4341.5433820371663</v>
      </c>
      <c r="G13" s="681">
        <f>industrie!F18</f>
        <v>15263.417372446933</v>
      </c>
      <c r="H13" s="681">
        <f>industrie!G18</f>
        <v>0</v>
      </c>
      <c r="I13" s="681">
        <f>industrie!H18</f>
        <v>0</v>
      </c>
      <c r="J13" s="681">
        <f>industrie!I18</f>
        <v>0</v>
      </c>
      <c r="K13" s="681">
        <f>industrie!J18</f>
        <v>436.27697307244466</v>
      </c>
      <c r="L13" s="681">
        <f>industrie!K18</f>
        <v>0</v>
      </c>
      <c r="M13" s="681">
        <f>industrie!L18</f>
        <v>0</v>
      </c>
      <c r="N13" s="681">
        <f>industrie!M18</f>
        <v>0</v>
      </c>
      <c r="O13" s="681">
        <f>industrie!N18</f>
        <v>0</v>
      </c>
      <c r="P13" s="681">
        <f>industrie!O18</f>
        <v>0</v>
      </c>
      <c r="Q13" s="682">
        <f>industrie!P18</f>
        <v>0</v>
      </c>
      <c r="R13" s="684">
        <f>SUM(C13:Q13)</f>
        <v>169422.269891128</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394292.09035459743</v>
      </c>
      <c r="D16" s="717">
        <f t="shared" ref="D16:R16" ca="1" si="0">SUM(D9:D15)</f>
        <v>74292.042857142864</v>
      </c>
      <c r="E16" s="717">
        <f t="shared" ca="1" si="0"/>
        <v>271242.20471665199</v>
      </c>
      <c r="F16" s="717">
        <f t="shared" si="0"/>
        <v>10895.319064962681</v>
      </c>
      <c r="G16" s="717">
        <f t="shared" ca="1" si="0"/>
        <v>112086.83760031419</v>
      </c>
      <c r="H16" s="717">
        <f t="shared" si="0"/>
        <v>0</v>
      </c>
      <c r="I16" s="717">
        <f t="shared" si="0"/>
        <v>0</v>
      </c>
      <c r="J16" s="717">
        <f t="shared" si="0"/>
        <v>0</v>
      </c>
      <c r="K16" s="717">
        <f t="shared" si="0"/>
        <v>745.80083781255917</v>
      </c>
      <c r="L16" s="717">
        <f t="shared" si="0"/>
        <v>0</v>
      </c>
      <c r="M16" s="717">
        <f t="shared" ca="1" si="0"/>
        <v>0</v>
      </c>
      <c r="N16" s="717">
        <f t="shared" si="0"/>
        <v>0</v>
      </c>
      <c r="O16" s="717">
        <f t="shared" ca="1" si="0"/>
        <v>26429.371166660469</v>
      </c>
      <c r="P16" s="717">
        <f t="shared" si="0"/>
        <v>1670.9210867899367</v>
      </c>
      <c r="Q16" s="717">
        <f t="shared" si="0"/>
        <v>2315.2498577478937</v>
      </c>
      <c r="R16" s="717">
        <f t="shared" ca="1" si="0"/>
        <v>893969.83754267986</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49.307205177175511</v>
      </c>
      <c r="D19" s="681">
        <f>transport!C54</f>
        <v>0</v>
      </c>
      <c r="E19" s="681">
        <f>transport!D54</f>
        <v>0</v>
      </c>
      <c r="F19" s="681">
        <f>transport!E54</f>
        <v>0</v>
      </c>
      <c r="G19" s="681">
        <f>transport!F54</f>
        <v>0</v>
      </c>
      <c r="H19" s="681">
        <f>transport!G54</f>
        <v>3572.3812780124645</v>
      </c>
      <c r="I19" s="681">
        <f>transport!H54</f>
        <v>0</v>
      </c>
      <c r="J19" s="681">
        <f>transport!I54</f>
        <v>0</v>
      </c>
      <c r="K19" s="681">
        <f>transport!J54</f>
        <v>0</v>
      </c>
      <c r="L19" s="681">
        <f>transport!K54</f>
        <v>0</v>
      </c>
      <c r="M19" s="681">
        <f>transport!L54</f>
        <v>0</v>
      </c>
      <c r="N19" s="681">
        <f>transport!M54</f>
        <v>202.06452363957223</v>
      </c>
      <c r="O19" s="681">
        <f>transport!N54</f>
        <v>0</v>
      </c>
      <c r="P19" s="681">
        <f>transport!O54</f>
        <v>0</v>
      </c>
      <c r="Q19" s="682">
        <f>transport!P54</f>
        <v>0</v>
      </c>
      <c r="R19" s="684">
        <f>SUM(C19:Q19)</f>
        <v>3823.7530068292122</v>
      </c>
      <c r="S19" s="67"/>
    </row>
    <row r="20" spans="1:19" s="444" customFormat="1">
      <c r="A20" s="802" t="s">
        <v>301</v>
      </c>
      <c r="B20" s="807"/>
      <c r="C20" s="681">
        <f>transport!B14</f>
        <v>842.76453158601225</v>
      </c>
      <c r="D20" s="681">
        <f>transport!C14</f>
        <v>0</v>
      </c>
      <c r="E20" s="681">
        <f>transport!D14</f>
        <v>1388.5058063733552</v>
      </c>
      <c r="F20" s="681">
        <f>transport!E14</f>
        <v>1292.1087457943659</v>
      </c>
      <c r="G20" s="681">
        <f>transport!F14</f>
        <v>0</v>
      </c>
      <c r="H20" s="681">
        <f>transport!G14</f>
        <v>870530.74152802094</v>
      </c>
      <c r="I20" s="681">
        <f>transport!H14</f>
        <v>125232.21856370934</v>
      </c>
      <c r="J20" s="681">
        <f>transport!I14</f>
        <v>0</v>
      </c>
      <c r="K20" s="681">
        <f>transport!J14</f>
        <v>0</v>
      </c>
      <c r="L20" s="681">
        <f>transport!K14</f>
        <v>0</v>
      </c>
      <c r="M20" s="681">
        <f>transport!L14</f>
        <v>0</v>
      </c>
      <c r="N20" s="681">
        <f>transport!M14</f>
        <v>58470.506824743068</v>
      </c>
      <c r="O20" s="681">
        <f>transport!N14</f>
        <v>0</v>
      </c>
      <c r="P20" s="681">
        <f>transport!O14</f>
        <v>0</v>
      </c>
      <c r="Q20" s="682">
        <f>transport!P14</f>
        <v>0</v>
      </c>
      <c r="R20" s="684">
        <f>SUM(C20:Q20)</f>
        <v>1057756.8460002269</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892.0717367631878</v>
      </c>
      <c r="D22" s="805">
        <f t="shared" ref="D22:R22" si="1">SUM(D18:D21)</f>
        <v>0</v>
      </c>
      <c r="E22" s="805">
        <f t="shared" si="1"/>
        <v>1388.5058063733552</v>
      </c>
      <c r="F22" s="805">
        <f t="shared" si="1"/>
        <v>1292.1087457943659</v>
      </c>
      <c r="G22" s="805">
        <f t="shared" si="1"/>
        <v>0</v>
      </c>
      <c r="H22" s="805">
        <f t="shared" si="1"/>
        <v>874103.12280603335</v>
      </c>
      <c r="I22" s="805">
        <f t="shared" si="1"/>
        <v>125232.21856370934</v>
      </c>
      <c r="J22" s="805">
        <f t="shared" si="1"/>
        <v>0</v>
      </c>
      <c r="K22" s="805">
        <f t="shared" si="1"/>
        <v>0</v>
      </c>
      <c r="L22" s="805">
        <f t="shared" si="1"/>
        <v>0</v>
      </c>
      <c r="M22" s="805">
        <f t="shared" si="1"/>
        <v>0</v>
      </c>
      <c r="N22" s="805">
        <f t="shared" si="1"/>
        <v>58672.57134838264</v>
      </c>
      <c r="O22" s="805">
        <f t="shared" si="1"/>
        <v>0</v>
      </c>
      <c r="P22" s="805">
        <f t="shared" si="1"/>
        <v>0</v>
      </c>
      <c r="Q22" s="805">
        <f t="shared" si="1"/>
        <v>0</v>
      </c>
      <c r="R22" s="805">
        <f t="shared" si="1"/>
        <v>1061580.5990070561</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10506.020553000002</v>
      </c>
      <c r="D24" s="681">
        <f>+landbouw!C8</f>
        <v>107856.64285714288</v>
      </c>
      <c r="E24" s="681">
        <f>+landbouw!D8</f>
        <v>0</v>
      </c>
      <c r="F24" s="681">
        <f>+landbouw!E8</f>
        <v>327.88943700095462</v>
      </c>
      <c r="G24" s="681">
        <f>+landbouw!F8</f>
        <v>37129.440459863516</v>
      </c>
      <c r="H24" s="681">
        <f>+landbouw!G8</f>
        <v>0</v>
      </c>
      <c r="I24" s="681">
        <f>+landbouw!H8</f>
        <v>0</v>
      </c>
      <c r="J24" s="681">
        <f>+landbouw!I8</f>
        <v>0</v>
      </c>
      <c r="K24" s="681">
        <f>+landbouw!J8</f>
        <v>2894.4815209655076</v>
      </c>
      <c r="L24" s="681">
        <f>+landbouw!K8</f>
        <v>0</v>
      </c>
      <c r="M24" s="681">
        <f>+landbouw!L8</f>
        <v>0</v>
      </c>
      <c r="N24" s="681">
        <f>+landbouw!M8</f>
        <v>0</v>
      </c>
      <c r="O24" s="681">
        <f>+landbouw!N8</f>
        <v>0</v>
      </c>
      <c r="P24" s="681">
        <f>+landbouw!O8</f>
        <v>0</v>
      </c>
      <c r="Q24" s="682">
        <f>+landbouw!P8</f>
        <v>0</v>
      </c>
      <c r="R24" s="684">
        <f>SUM(C24:Q24)</f>
        <v>158714.47482797288</v>
      </c>
      <c r="S24" s="67"/>
    </row>
    <row r="25" spans="1:19" s="444" customFormat="1" ht="15" thickBot="1">
      <c r="A25" s="824" t="s">
        <v>714</v>
      </c>
      <c r="B25" s="943"/>
      <c r="C25" s="944">
        <f>IF(Onbekend_ele_kWh="---",0,Onbekend_ele_kWh)/1000+IF(REST_rest_ele_kWh="---",0,REST_rest_ele_kWh)/1000</f>
        <v>7540.5833510000002</v>
      </c>
      <c r="D25" s="944"/>
      <c r="E25" s="944">
        <f>IF(onbekend_gas_kWh="---",0,onbekend_gas_kWh)/1000+IF(REST_rest_gas_kWh="---",0,REST_rest_gas_kWh)/1000</f>
        <v>5378.9731190000002</v>
      </c>
      <c r="F25" s="944"/>
      <c r="G25" s="944"/>
      <c r="H25" s="944"/>
      <c r="I25" s="944"/>
      <c r="J25" s="944"/>
      <c r="K25" s="944"/>
      <c r="L25" s="944"/>
      <c r="M25" s="944"/>
      <c r="N25" s="944"/>
      <c r="O25" s="944"/>
      <c r="P25" s="944"/>
      <c r="Q25" s="945"/>
      <c r="R25" s="684">
        <f>SUM(C25:Q25)</f>
        <v>12919.55647</v>
      </c>
      <c r="S25" s="67"/>
    </row>
    <row r="26" spans="1:19" s="444" customFormat="1" ht="15.75" thickBot="1">
      <c r="A26" s="689" t="s">
        <v>715</v>
      </c>
      <c r="B26" s="810"/>
      <c r="C26" s="805">
        <f>SUM(C24:C25)</f>
        <v>18046.603904000003</v>
      </c>
      <c r="D26" s="805">
        <f t="shared" ref="D26:R26" si="2">SUM(D24:D25)</f>
        <v>107856.64285714288</v>
      </c>
      <c r="E26" s="805">
        <f t="shared" si="2"/>
        <v>5378.9731190000002</v>
      </c>
      <c r="F26" s="805">
        <f t="shared" si="2"/>
        <v>327.88943700095462</v>
      </c>
      <c r="G26" s="805">
        <f t="shared" si="2"/>
        <v>37129.440459863516</v>
      </c>
      <c r="H26" s="805">
        <f t="shared" si="2"/>
        <v>0</v>
      </c>
      <c r="I26" s="805">
        <f t="shared" si="2"/>
        <v>0</v>
      </c>
      <c r="J26" s="805">
        <f t="shared" si="2"/>
        <v>0</v>
      </c>
      <c r="K26" s="805">
        <f t="shared" si="2"/>
        <v>2894.4815209655076</v>
      </c>
      <c r="L26" s="805">
        <f t="shared" si="2"/>
        <v>0</v>
      </c>
      <c r="M26" s="805">
        <f t="shared" si="2"/>
        <v>0</v>
      </c>
      <c r="N26" s="805">
        <f t="shared" si="2"/>
        <v>0</v>
      </c>
      <c r="O26" s="805">
        <f t="shared" si="2"/>
        <v>0</v>
      </c>
      <c r="P26" s="805">
        <f t="shared" si="2"/>
        <v>0</v>
      </c>
      <c r="Q26" s="805">
        <f t="shared" si="2"/>
        <v>0</v>
      </c>
      <c r="R26" s="805">
        <f t="shared" si="2"/>
        <v>171634.03129797289</v>
      </c>
      <c r="S26" s="67"/>
    </row>
    <row r="27" spans="1:19" s="444" customFormat="1" ht="17.25" thickTop="1" thickBot="1">
      <c r="A27" s="690" t="s">
        <v>115</v>
      </c>
      <c r="B27" s="797"/>
      <c r="C27" s="691">
        <f ca="1">C22+C16+C26</f>
        <v>413230.76599536062</v>
      </c>
      <c r="D27" s="691">
        <f t="shared" ref="D27:R27" ca="1" si="3">D22+D16+D26</f>
        <v>182148.68571428576</v>
      </c>
      <c r="E27" s="691">
        <f t="shared" ca="1" si="3"/>
        <v>278009.68364202534</v>
      </c>
      <c r="F27" s="691">
        <f t="shared" si="3"/>
        <v>12515.317247758001</v>
      </c>
      <c r="G27" s="691">
        <f t="shared" ca="1" si="3"/>
        <v>149216.27806017769</v>
      </c>
      <c r="H27" s="691">
        <f t="shared" si="3"/>
        <v>874103.12280603335</v>
      </c>
      <c r="I27" s="691">
        <f t="shared" si="3"/>
        <v>125232.21856370934</v>
      </c>
      <c r="J27" s="691">
        <f t="shared" si="3"/>
        <v>0</v>
      </c>
      <c r="K27" s="691">
        <f t="shared" si="3"/>
        <v>3640.2823587780667</v>
      </c>
      <c r="L27" s="691">
        <f t="shared" si="3"/>
        <v>0</v>
      </c>
      <c r="M27" s="691">
        <f t="shared" ca="1" si="3"/>
        <v>0</v>
      </c>
      <c r="N27" s="691">
        <f t="shared" si="3"/>
        <v>58672.57134838264</v>
      </c>
      <c r="O27" s="691">
        <f t="shared" ca="1" si="3"/>
        <v>26429.371166660469</v>
      </c>
      <c r="P27" s="691">
        <f t="shared" si="3"/>
        <v>1670.9210867899367</v>
      </c>
      <c r="Q27" s="691">
        <f t="shared" si="3"/>
        <v>2315.2498577478937</v>
      </c>
      <c r="R27" s="691">
        <f t="shared" ca="1" si="3"/>
        <v>2127184.4678477086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14989.880947071637</v>
      </c>
      <c r="D40" s="681">
        <f ca="1">tertiair!C20</f>
        <v>5493.6352402768225</v>
      </c>
      <c r="E40" s="681">
        <f ca="1">tertiair!D20</f>
        <v>15838.600254391305</v>
      </c>
      <c r="F40" s="681">
        <f>tertiair!E20</f>
        <v>397.34464403960328</v>
      </c>
      <c r="G40" s="681">
        <f ca="1">tertiair!F20</f>
        <v>5176.2956916842622</v>
      </c>
      <c r="H40" s="681">
        <f>tertiair!G20</f>
        <v>0</v>
      </c>
      <c r="I40" s="681">
        <f>tertiair!H20</f>
        <v>0</v>
      </c>
      <c r="J40" s="681">
        <f>tertiair!I20</f>
        <v>0</v>
      </c>
      <c r="K40" s="681">
        <f>tertiair!J20</f>
        <v>5.9571681836835498E-2</v>
      </c>
      <c r="L40" s="681">
        <f>tertiair!K20</f>
        <v>0</v>
      </c>
      <c r="M40" s="681">
        <f ca="1">tertiair!L20</f>
        <v>0</v>
      </c>
      <c r="N40" s="681">
        <f>tertiair!M20</f>
        <v>0</v>
      </c>
      <c r="O40" s="681">
        <f ca="1">tertiair!N20</f>
        <v>0</v>
      </c>
      <c r="P40" s="681">
        <f>tertiair!O20</f>
        <v>0</v>
      </c>
      <c r="Q40" s="764">
        <f>tertiair!P20</f>
        <v>0</v>
      </c>
      <c r="R40" s="843">
        <f t="shared" ca="1" si="4"/>
        <v>41895.816349145462</v>
      </c>
    </row>
    <row r="41" spans="1:18">
      <c r="A41" s="815" t="s">
        <v>219</v>
      </c>
      <c r="B41" s="822"/>
      <c r="C41" s="681">
        <f ca="1">huishoudens!B12</f>
        <v>7448.3254781617279</v>
      </c>
      <c r="D41" s="681">
        <f ca="1">huishoudens!C12</f>
        <v>0</v>
      </c>
      <c r="E41" s="681">
        <f>huishoudens!D12</f>
        <v>38952.325098372399</v>
      </c>
      <c r="F41" s="681">
        <f>huishoudens!E12</f>
        <v>1090.3624359844885</v>
      </c>
      <c r="G41" s="681">
        <f>huishoudens!F12</f>
        <v>20675.557509156297</v>
      </c>
      <c r="H41" s="681">
        <f>huishoudens!G12</f>
        <v>0</v>
      </c>
      <c r="I41" s="681">
        <f>huishoudens!H12</f>
        <v>0</v>
      </c>
      <c r="J41" s="681">
        <f>huishoudens!I12</f>
        <v>0</v>
      </c>
      <c r="K41" s="681">
        <f>huishoudens!J12</f>
        <v>109.51187643616366</v>
      </c>
      <c r="L41" s="681">
        <f>huishoudens!K12</f>
        <v>0</v>
      </c>
      <c r="M41" s="681">
        <f>huishoudens!L12</f>
        <v>0</v>
      </c>
      <c r="N41" s="681">
        <f>huishoudens!M12</f>
        <v>0</v>
      </c>
      <c r="O41" s="681">
        <f>huishoudens!N12</f>
        <v>0</v>
      </c>
      <c r="P41" s="681">
        <f>huishoudens!O12</f>
        <v>0</v>
      </c>
      <c r="Q41" s="764">
        <f>huishoudens!P12</f>
        <v>0</v>
      </c>
      <c r="R41" s="843">
        <f t="shared" ca="1" si="4"/>
        <v>68276.082398111088</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8643.9282973172049</v>
      </c>
      <c r="D43" s="681">
        <f ca="1">industrie!C22</f>
        <v>6314.5937321978017</v>
      </c>
      <c r="E43" s="681">
        <f>industrie!D22</f>
        <v>0</v>
      </c>
      <c r="F43" s="681">
        <f>industrie!E22</f>
        <v>985.53034772243677</v>
      </c>
      <c r="G43" s="681">
        <f>industrie!F22</f>
        <v>4075.3324384433313</v>
      </c>
      <c r="H43" s="681">
        <f>industrie!G22</f>
        <v>0</v>
      </c>
      <c r="I43" s="681">
        <f>industrie!H22</f>
        <v>0</v>
      </c>
      <c r="J43" s="681">
        <f>industrie!I22</f>
        <v>0</v>
      </c>
      <c r="K43" s="681">
        <f>industrie!J22</f>
        <v>154.44204846764541</v>
      </c>
      <c r="L43" s="681">
        <f>industrie!K22</f>
        <v>0</v>
      </c>
      <c r="M43" s="681">
        <f>industrie!L22</f>
        <v>0</v>
      </c>
      <c r="N43" s="681">
        <f>industrie!M22</f>
        <v>0</v>
      </c>
      <c r="O43" s="681">
        <f>industrie!N22</f>
        <v>0</v>
      </c>
      <c r="P43" s="681">
        <f>industrie!O22</f>
        <v>0</v>
      </c>
      <c r="Q43" s="764">
        <f>industrie!P22</f>
        <v>0</v>
      </c>
      <c r="R43" s="842">
        <f t="shared" ca="1" si="4"/>
        <v>20173.826864148421</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31082.134722550571</v>
      </c>
      <c r="D46" s="717">
        <f t="shared" ref="D46:Q46" ca="1" si="5">SUM(D39:D45)</f>
        <v>11808.228972474624</v>
      </c>
      <c r="E46" s="717">
        <f t="shared" ca="1" si="5"/>
        <v>54790.925352763705</v>
      </c>
      <c r="F46" s="717">
        <f t="shared" si="5"/>
        <v>2473.2374277465287</v>
      </c>
      <c r="G46" s="717">
        <f t="shared" ca="1" si="5"/>
        <v>29927.185639283893</v>
      </c>
      <c r="H46" s="717">
        <f t="shared" si="5"/>
        <v>0</v>
      </c>
      <c r="I46" s="717">
        <f t="shared" si="5"/>
        <v>0</v>
      </c>
      <c r="J46" s="717">
        <f t="shared" si="5"/>
        <v>0</v>
      </c>
      <c r="K46" s="717">
        <f t="shared" si="5"/>
        <v>264.0134965856459</v>
      </c>
      <c r="L46" s="717">
        <f t="shared" si="5"/>
        <v>0</v>
      </c>
      <c r="M46" s="717">
        <f t="shared" ca="1" si="5"/>
        <v>0</v>
      </c>
      <c r="N46" s="717">
        <f t="shared" si="5"/>
        <v>0</v>
      </c>
      <c r="O46" s="717">
        <f t="shared" ca="1" si="5"/>
        <v>0</v>
      </c>
      <c r="P46" s="717">
        <f t="shared" si="5"/>
        <v>0</v>
      </c>
      <c r="Q46" s="717">
        <f t="shared" si="5"/>
        <v>0</v>
      </c>
      <c r="R46" s="717">
        <f ca="1">SUM(R39:R45)</f>
        <v>130345.72561140497</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3.8868981437875871</v>
      </c>
      <c r="D49" s="681">
        <f ca="1">transport!C58</f>
        <v>0</v>
      </c>
      <c r="E49" s="681">
        <f>transport!D58</f>
        <v>0</v>
      </c>
      <c r="F49" s="681">
        <f>transport!E58</f>
        <v>0</v>
      </c>
      <c r="G49" s="681">
        <f>transport!F58</f>
        <v>0</v>
      </c>
      <c r="H49" s="681">
        <f>transport!G58</f>
        <v>953.82580122932802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957.71269937311558</v>
      </c>
    </row>
    <row r="50" spans="1:18">
      <c r="A50" s="818" t="s">
        <v>301</v>
      </c>
      <c r="B50" s="828"/>
      <c r="C50" s="687">
        <f ca="1">transport!B18</f>
        <v>66.435318767327715</v>
      </c>
      <c r="D50" s="687">
        <f>transport!C18</f>
        <v>0</v>
      </c>
      <c r="E50" s="687">
        <f>transport!D18</f>
        <v>280.47817288741777</v>
      </c>
      <c r="F50" s="687">
        <f>transport!E18</f>
        <v>293.30868529532108</v>
      </c>
      <c r="G50" s="687">
        <f>transport!F18</f>
        <v>0</v>
      </c>
      <c r="H50" s="687">
        <f>transport!G18</f>
        <v>232431.70798798162</v>
      </c>
      <c r="I50" s="687">
        <f>transport!H18</f>
        <v>31182.822422363624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264254.75258729531</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70.322216911115305</v>
      </c>
      <c r="D52" s="717">
        <f t="shared" ref="D52:Q52" ca="1" si="6">SUM(D48:D51)</f>
        <v>0</v>
      </c>
      <c r="E52" s="717">
        <f t="shared" si="6"/>
        <v>280.47817288741777</v>
      </c>
      <c r="F52" s="717">
        <f t="shared" si="6"/>
        <v>293.30868529532108</v>
      </c>
      <c r="G52" s="717">
        <f t="shared" si="6"/>
        <v>0</v>
      </c>
      <c r="H52" s="717">
        <f t="shared" si="6"/>
        <v>233385.53378921095</v>
      </c>
      <c r="I52" s="717">
        <f t="shared" si="6"/>
        <v>31182.822422363624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265212.46528666845</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828.19197801446273</v>
      </c>
      <c r="D54" s="687">
        <f ca="1">+landbouw!C12</f>
        <v>17143.100203995968</v>
      </c>
      <c r="E54" s="687">
        <f>+landbouw!D12</f>
        <v>0</v>
      </c>
      <c r="F54" s="687">
        <f>+landbouw!E12</f>
        <v>74.430902199216703</v>
      </c>
      <c r="G54" s="687">
        <f>+landbouw!F12</f>
        <v>9913.5606027835584</v>
      </c>
      <c r="H54" s="687">
        <f>+landbouw!G12</f>
        <v>0</v>
      </c>
      <c r="I54" s="687">
        <f>+landbouw!H12</f>
        <v>0</v>
      </c>
      <c r="J54" s="687">
        <f>+landbouw!I12</f>
        <v>0</v>
      </c>
      <c r="K54" s="687">
        <f>+landbouw!J12</f>
        <v>1024.6464584217897</v>
      </c>
      <c r="L54" s="687">
        <f>+landbouw!K12</f>
        <v>0</v>
      </c>
      <c r="M54" s="687">
        <f>+landbouw!L12</f>
        <v>0</v>
      </c>
      <c r="N54" s="687">
        <f>+landbouw!M12</f>
        <v>0</v>
      </c>
      <c r="O54" s="687">
        <f>+landbouw!N12</f>
        <v>0</v>
      </c>
      <c r="P54" s="687">
        <f>+landbouw!O12</f>
        <v>0</v>
      </c>
      <c r="Q54" s="688">
        <f>+landbouw!P12</f>
        <v>0</v>
      </c>
      <c r="R54" s="716">
        <f ca="1">SUM(C54:Q54)</f>
        <v>28983.930145414997</v>
      </c>
    </row>
    <row r="55" spans="1:18" ht="15" thickBot="1">
      <c r="A55" s="818" t="s">
        <v>714</v>
      </c>
      <c r="B55" s="828"/>
      <c r="C55" s="687">
        <f ca="1">C25*'EF ele_warmte'!B12</f>
        <v>594.42589221513913</v>
      </c>
      <c r="D55" s="687"/>
      <c r="E55" s="687">
        <f>E25*EF_CO2_aardgas</f>
        <v>1086.5525700380001</v>
      </c>
      <c r="F55" s="687"/>
      <c r="G55" s="687"/>
      <c r="H55" s="687"/>
      <c r="I55" s="687"/>
      <c r="J55" s="687"/>
      <c r="K55" s="687"/>
      <c r="L55" s="687"/>
      <c r="M55" s="687"/>
      <c r="N55" s="687"/>
      <c r="O55" s="687"/>
      <c r="P55" s="687"/>
      <c r="Q55" s="688"/>
      <c r="R55" s="716">
        <f ca="1">SUM(C55:Q55)</f>
        <v>1680.9784622531392</v>
      </c>
    </row>
    <row r="56" spans="1:18" ht="15.75" thickBot="1">
      <c r="A56" s="816" t="s">
        <v>715</v>
      </c>
      <c r="B56" s="829"/>
      <c r="C56" s="717">
        <f ca="1">SUM(C54:C55)</f>
        <v>1422.617870229602</v>
      </c>
      <c r="D56" s="717">
        <f t="shared" ref="D56:Q56" ca="1" si="7">SUM(D54:D55)</f>
        <v>17143.100203995968</v>
      </c>
      <c r="E56" s="717">
        <f t="shared" si="7"/>
        <v>1086.5525700380001</v>
      </c>
      <c r="F56" s="717">
        <f t="shared" si="7"/>
        <v>74.430902199216703</v>
      </c>
      <c r="G56" s="717">
        <f t="shared" si="7"/>
        <v>9913.5606027835584</v>
      </c>
      <c r="H56" s="717">
        <f t="shared" si="7"/>
        <v>0</v>
      </c>
      <c r="I56" s="717">
        <f t="shared" si="7"/>
        <v>0</v>
      </c>
      <c r="J56" s="717">
        <f t="shared" si="7"/>
        <v>0</v>
      </c>
      <c r="K56" s="717">
        <f t="shared" si="7"/>
        <v>1024.6464584217897</v>
      </c>
      <c r="L56" s="717">
        <f t="shared" si="7"/>
        <v>0</v>
      </c>
      <c r="M56" s="717">
        <f t="shared" si="7"/>
        <v>0</v>
      </c>
      <c r="N56" s="717">
        <f t="shared" si="7"/>
        <v>0</v>
      </c>
      <c r="O56" s="717">
        <f t="shared" si="7"/>
        <v>0</v>
      </c>
      <c r="P56" s="717">
        <f t="shared" si="7"/>
        <v>0</v>
      </c>
      <c r="Q56" s="718">
        <f t="shared" si="7"/>
        <v>0</v>
      </c>
      <c r="R56" s="719">
        <f ca="1">SUM(R54:R55)</f>
        <v>30664.908607668138</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32575.074809691287</v>
      </c>
      <c r="D61" s="725">
        <f t="shared" ref="D61:Q61" ca="1" si="8">D46+D52+D56</f>
        <v>28951.329176470594</v>
      </c>
      <c r="E61" s="725">
        <f t="shared" ca="1" si="8"/>
        <v>56157.956095689122</v>
      </c>
      <c r="F61" s="725">
        <f t="shared" si="8"/>
        <v>2840.9770152410665</v>
      </c>
      <c r="G61" s="725">
        <f t="shared" ca="1" si="8"/>
        <v>39840.746242067449</v>
      </c>
      <c r="H61" s="725">
        <f t="shared" si="8"/>
        <v>233385.53378921095</v>
      </c>
      <c r="I61" s="725">
        <f t="shared" si="8"/>
        <v>31182.822422363624</v>
      </c>
      <c r="J61" s="725">
        <f t="shared" si="8"/>
        <v>0</v>
      </c>
      <c r="K61" s="725">
        <f t="shared" si="8"/>
        <v>1288.6599550074357</v>
      </c>
      <c r="L61" s="725">
        <f t="shared" si="8"/>
        <v>0</v>
      </c>
      <c r="M61" s="725">
        <f t="shared" ca="1" si="8"/>
        <v>0</v>
      </c>
      <c r="N61" s="725">
        <f t="shared" si="8"/>
        <v>0</v>
      </c>
      <c r="O61" s="725">
        <f t="shared" ca="1" si="8"/>
        <v>0</v>
      </c>
      <c r="P61" s="725">
        <f t="shared" si="8"/>
        <v>0</v>
      </c>
      <c r="Q61" s="725">
        <f t="shared" si="8"/>
        <v>0</v>
      </c>
      <c r="R61" s="725">
        <f ca="1">R46+R52+R56</f>
        <v>426223.09950574156</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7.883022632941375E-2</v>
      </c>
      <c r="D63" s="771">
        <f t="shared" ca="1" si="9"/>
        <v>0.1589433877216275</v>
      </c>
      <c r="E63" s="969">
        <f t="shared" ca="1" si="9"/>
        <v>0.20200000000000001</v>
      </c>
      <c r="F63" s="771">
        <f t="shared" si="9"/>
        <v>0.22700000000000004</v>
      </c>
      <c r="G63" s="771">
        <f t="shared" ca="1" si="9"/>
        <v>0.26700000000000002</v>
      </c>
      <c r="H63" s="771">
        <f t="shared" si="9"/>
        <v>0.26700000000000007</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183521.43702390528</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46507.763061220649</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42226.649999999994</v>
      </c>
      <c r="C76" s="738">
        <f>'lokale energieproductie'!B8*IFERROR(SUM(D76:H76)/SUM(D76:O76),0)</f>
        <v>85277.429999999978</v>
      </c>
      <c r="D76" s="952">
        <f>'lokale energieproductie'!C8</f>
        <v>100326.3882352941</v>
      </c>
      <c r="E76" s="953">
        <f>'lokale energieproductie'!D8</f>
        <v>0</v>
      </c>
      <c r="F76" s="953">
        <f>'lokale energieproductie'!E8</f>
        <v>0</v>
      </c>
      <c r="G76" s="953">
        <f>'lokale energieproductie'!F8</f>
        <v>0</v>
      </c>
      <c r="H76" s="953">
        <f>'lokale energieproductie'!G8</f>
        <v>0</v>
      </c>
      <c r="I76" s="953">
        <f>'lokale energieproductie'!I8</f>
        <v>0</v>
      </c>
      <c r="J76" s="953">
        <f>'lokale energieproductie'!J8</f>
        <v>49678.411764705881</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20265.930423529411</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272255.85008512589</v>
      </c>
      <c r="C78" s="743">
        <f>SUM(C72:C77)</f>
        <v>85277.429999999978</v>
      </c>
      <c r="D78" s="744">
        <f t="shared" ref="D78:H78" si="10">SUM(D76:D77)</f>
        <v>100326.3882352941</v>
      </c>
      <c r="E78" s="744">
        <f t="shared" si="10"/>
        <v>0</v>
      </c>
      <c r="F78" s="744">
        <f t="shared" si="10"/>
        <v>0</v>
      </c>
      <c r="G78" s="744">
        <f t="shared" si="10"/>
        <v>0</v>
      </c>
      <c r="H78" s="744">
        <f t="shared" si="10"/>
        <v>0</v>
      </c>
      <c r="I78" s="744">
        <f>SUM(I76:I77)</f>
        <v>0</v>
      </c>
      <c r="J78" s="744">
        <f>SUM(J76:J77)</f>
        <v>49678.411764705881</v>
      </c>
      <c r="K78" s="744">
        <f t="shared" ref="K78:L78" si="11">SUM(K76:K77)</f>
        <v>0</v>
      </c>
      <c r="L78" s="744">
        <f t="shared" si="11"/>
        <v>0</v>
      </c>
      <c r="M78" s="744">
        <f>SUM(M76:M77)</f>
        <v>0</v>
      </c>
      <c r="N78" s="744">
        <f>SUM(N76:N77)</f>
        <v>0</v>
      </c>
      <c r="O78" s="853">
        <f>SUM(O76:O77)</f>
        <v>0</v>
      </c>
      <c r="P78" s="745">
        <v>0</v>
      </c>
      <c r="Q78" s="745">
        <f>SUM(Q76:Q77)</f>
        <v>20265.930423529411</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60323.785714285725</v>
      </c>
      <c r="C87" s="756">
        <f>'lokale energieproductie'!B17*IFERROR(SUM(D87:H87)/SUM(D87:O87),0)</f>
        <v>121824.9</v>
      </c>
      <c r="D87" s="767">
        <f>'lokale energieproductie'!C17</f>
        <v>143323.4117647059</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70969.159663865561</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28951.329176470594</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60323.785714285725</v>
      </c>
      <c r="C90" s="743">
        <f>SUM(C87:C89)</f>
        <v>121824.9</v>
      </c>
      <c r="D90" s="743">
        <f t="shared" ref="D90:H90" si="12">SUM(D87:D89)</f>
        <v>143323.4117647059</v>
      </c>
      <c r="E90" s="743">
        <f t="shared" si="12"/>
        <v>0</v>
      </c>
      <c r="F90" s="743">
        <f t="shared" si="12"/>
        <v>0</v>
      </c>
      <c r="G90" s="743">
        <f t="shared" si="12"/>
        <v>0</v>
      </c>
      <c r="H90" s="743">
        <f t="shared" si="12"/>
        <v>0</v>
      </c>
      <c r="I90" s="743">
        <f>SUM(I87:I89)</f>
        <v>0</v>
      </c>
      <c r="J90" s="743">
        <f>SUM(J87:J89)</f>
        <v>70969.159663865561</v>
      </c>
      <c r="K90" s="743">
        <f t="shared" ref="K90:L90" si="13">SUM(K87:K89)</f>
        <v>0</v>
      </c>
      <c r="L90" s="743">
        <f t="shared" si="13"/>
        <v>0</v>
      </c>
      <c r="M90" s="743">
        <f>SUM(M87:M89)</f>
        <v>0</v>
      </c>
      <c r="N90" s="743">
        <f>SUM(N87:N89)</f>
        <v>0</v>
      </c>
      <c r="O90" s="743">
        <f>SUM(O87:O89)</f>
        <v>0</v>
      </c>
      <c r="P90" s="743">
        <v>0</v>
      </c>
      <c r="Q90" s="743">
        <f>SUM(Q87:Q89)</f>
        <v>28951.329176470594</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94485.65385359741</v>
      </c>
      <c r="C4" s="448">
        <f>huishoudens!C8</f>
        <v>0</v>
      </c>
      <c r="D4" s="448">
        <f>huishoudens!D8</f>
        <v>192833.29256619999</v>
      </c>
      <c r="E4" s="448">
        <f>huishoudens!E8</f>
        <v>4803.3587488303456</v>
      </c>
      <c r="F4" s="448">
        <f>huishoudens!F8</f>
        <v>77436.544978113467</v>
      </c>
      <c r="G4" s="448">
        <f>huishoudens!G8</f>
        <v>0</v>
      </c>
      <c r="H4" s="448">
        <f>huishoudens!H8</f>
        <v>0</v>
      </c>
      <c r="I4" s="448">
        <f>huishoudens!I8</f>
        <v>0</v>
      </c>
      <c r="J4" s="448">
        <f>huishoudens!J8</f>
        <v>309.35558315300472</v>
      </c>
      <c r="K4" s="448">
        <f>huishoudens!K8</f>
        <v>0</v>
      </c>
      <c r="L4" s="448">
        <f>huishoudens!L8</f>
        <v>0</v>
      </c>
      <c r="M4" s="448">
        <f>huishoudens!M8</f>
        <v>0</v>
      </c>
      <c r="N4" s="448">
        <f>huishoudens!N8</f>
        <v>26429.371166660469</v>
      </c>
      <c r="O4" s="448">
        <f>huishoudens!O8</f>
        <v>1626.8457398973662</v>
      </c>
      <c r="P4" s="449">
        <f>huishoudens!P8</f>
        <v>1422.0845065374783</v>
      </c>
      <c r="Q4" s="450">
        <f>SUM(B4:P4)</f>
        <v>399346.50714298943</v>
      </c>
    </row>
    <row r="5" spans="1:17">
      <c r="A5" s="447" t="s">
        <v>155</v>
      </c>
      <c r="B5" s="448">
        <f ca="1">tertiair!B16</f>
        <v>187337.887766</v>
      </c>
      <c r="C5" s="448">
        <f ca="1">tertiair!C16</f>
        <v>34563.471428571429</v>
      </c>
      <c r="D5" s="448">
        <f ca="1">tertiair!D16</f>
        <v>78408.912150452001</v>
      </c>
      <c r="E5" s="448">
        <f>tertiair!E16</f>
        <v>1750.4169340951685</v>
      </c>
      <c r="F5" s="448">
        <f ca="1">tertiair!F16</f>
        <v>19386.87524975379</v>
      </c>
      <c r="G5" s="448">
        <f>tertiair!G16</f>
        <v>0</v>
      </c>
      <c r="H5" s="448">
        <f>tertiair!H16</f>
        <v>0</v>
      </c>
      <c r="I5" s="448">
        <f>tertiair!I16</f>
        <v>0</v>
      </c>
      <c r="J5" s="448">
        <f>tertiair!J16</f>
        <v>0.16828158710970481</v>
      </c>
      <c r="K5" s="448">
        <f>tertiair!K16</f>
        <v>0</v>
      </c>
      <c r="L5" s="448">
        <f ca="1">tertiair!L16</f>
        <v>0</v>
      </c>
      <c r="M5" s="448">
        <f>tertiair!M16</f>
        <v>0</v>
      </c>
      <c r="N5" s="448">
        <f ca="1">tertiair!N16</f>
        <v>0</v>
      </c>
      <c r="O5" s="448">
        <f>tertiair!O16</f>
        <v>44.075346892570387</v>
      </c>
      <c r="P5" s="449">
        <f>tertiair!P16</f>
        <v>893.16535121041511</v>
      </c>
      <c r="Q5" s="447">
        <f t="shared" ref="Q5:Q14" ca="1" si="0">SUM(B5:P5)</f>
        <v>322384.97250856244</v>
      </c>
    </row>
    <row r="6" spans="1:17">
      <c r="A6" s="447" t="s">
        <v>193</v>
      </c>
      <c r="B6" s="448">
        <f>'openbare verlichting'!B8</f>
        <v>2816.0880000000002</v>
      </c>
      <c r="C6" s="448"/>
      <c r="D6" s="448"/>
      <c r="E6" s="448"/>
      <c r="F6" s="448"/>
      <c r="G6" s="448"/>
      <c r="H6" s="448"/>
      <c r="I6" s="448"/>
      <c r="J6" s="448"/>
      <c r="K6" s="448"/>
      <c r="L6" s="448"/>
      <c r="M6" s="448"/>
      <c r="N6" s="448"/>
      <c r="O6" s="448"/>
      <c r="P6" s="449"/>
      <c r="Q6" s="447">
        <f t="shared" si="0"/>
        <v>2816.0880000000002</v>
      </c>
    </row>
    <row r="7" spans="1:17">
      <c r="A7" s="447" t="s">
        <v>111</v>
      </c>
      <c r="B7" s="448">
        <f>landbouw!B8</f>
        <v>10506.020553000002</v>
      </c>
      <c r="C7" s="448">
        <f>landbouw!C8</f>
        <v>107856.64285714288</v>
      </c>
      <c r="D7" s="448">
        <f>landbouw!D8</f>
        <v>0</v>
      </c>
      <c r="E7" s="448">
        <f>landbouw!E8</f>
        <v>327.88943700095462</v>
      </c>
      <c r="F7" s="448">
        <f>landbouw!F8</f>
        <v>37129.440459863516</v>
      </c>
      <c r="G7" s="448">
        <f>landbouw!G8</f>
        <v>0</v>
      </c>
      <c r="H7" s="448">
        <f>landbouw!H8</f>
        <v>0</v>
      </c>
      <c r="I7" s="448">
        <f>landbouw!I8</f>
        <v>0</v>
      </c>
      <c r="J7" s="448">
        <f>landbouw!J8</f>
        <v>2894.4815209655076</v>
      </c>
      <c r="K7" s="448">
        <f>landbouw!K8</f>
        <v>0</v>
      </c>
      <c r="L7" s="448">
        <f>landbouw!L8</f>
        <v>0</v>
      </c>
      <c r="M7" s="448">
        <f>landbouw!M8</f>
        <v>0</v>
      </c>
      <c r="N7" s="448">
        <f>landbouw!N8</f>
        <v>0</v>
      </c>
      <c r="O7" s="448">
        <f>landbouw!O8</f>
        <v>0</v>
      </c>
      <c r="P7" s="449">
        <f>landbouw!P8</f>
        <v>0</v>
      </c>
      <c r="Q7" s="447">
        <f t="shared" si="0"/>
        <v>158714.47482797288</v>
      </c>
    </row>
    <row r="8" spans="1:17">
      <c r="A8" s="447" t="s">
        <v>618</v>
      </c>
      <c r="B8" s="448">
        <f>industrie!B18</f>
        <v>109652.460735</v>
      </c>
      <c r="C8" s="448">
        <f>industrie!C18</f>
        <v>39728.571428571435</v>
      </c>
      <c r="D8" s="448">
        <f>industrie!D18</f>
        <v>0</v>
      </c>
      <c r="E8" s="448">
        <f>industrie!E18</f>
        <v>4341.5433820371663</v>
      </c>
      <c r="F8" s="448">
        <f>industrie!F18</f>
        <v>15263.417372446933</v>
      </c>
      <c r="G8" s="448">
        <f>industrie!G18</f>
        <v>0</v>
      </c>
      <c r="H8" s="448">
        <f>industrie!H18</f>
        <v>0</v>
      </c>
      <c r="I8" s="448">
        <f>industrie!I18</f>
        <v>0</v>
      </c>
      <c r="J8" s="448">
        <f>industrie!J18</f>
        <v>436.27697307244466</v>
      </c>
      <c r="K8" s="448">
        <f>industrie!K18</f>
        <v>0</v>
      </c>
      <c r="L8" s="448">
        <f>industrie!L18</f>
        <v>0</v>
      </c>
      <c r="M8" s="448">
        <f>industrie!M18</f>
        <v>0</v>
      </c>
      <c r="N8" s="448">
        <f>industrie!N18</f>
        <v>0</v>
      </c>
      <c r="O8" s="448">
        <f>industrie!O18</f>
        <v>0</v>
      </c>
      <c r="P8" s="449">
        <f>industrie!P18</f>
        <v>0</v>
      </c>
      <c r="Q8" s="447">
        <f t="shared" si="0"/>
        <v>169422.269891128</v>
      </c>
    </row>
    <row r="9" spans="1:17" s="453" customFormat="1">
      <c r="A9" s="451" t="s">
        <v>544</v>
      </c>
      <c r="B9" s="452">
        <f>transport!B14</f>
        <v>842.76453158601225</v>
      </c>
      <c r="C9" s="452">
        <f>transport!C14</f>
        <v>0</v>
      </c>
      <c r="D9" s="452">
        <f>transport!D14</f>
        <v>1388.5058063733552</v>
      </c>
      <c r="E9" s="452">
        <f>transport!E14</f>
        <v>1292.1087457943659</v>
      </c>
      <c r="F9" s="452">
        <f>transport!F14</f>
        <v>0</v>
      </c>
      <c r="G9" s="452">
        <f>transport!G14</f>
        <v>870530.74152802094</v>
      </c>
      <c r="H9" s="452">
        <f>transport!H14</f>
        <v>125232.21856370934</v>
      </c>
      <c r="I9" s="452">
        <f>transport!I14</f>
        <v>0</v>
      </c>
      <c r="J9" s="452">
        <f>transport!J14</f>
        <v>0</v>
      </c>
      <c r="K9" s="452">
        <f>transport!K14</f>
        <v>0</v>
      </c>
      <c r="L9" s="452">
        <f>transport!L14</f>
        <v>0</v>
      </c>
      <c r="M9" s="452">
        <f>transport!M14</f>
        <v>58470.506824743068</v>
      </c>
      <c r="N9" s="452">
        <f>transport!N14</f>
        <v>0</v>
      </c>
      <c r="O9" s="452">
        <f>transport!O14</f>
        <v>0</v>
      </c>
      <c r="P9" s="452">
        <f>transport!P14</f>
        <v>0</v>
      </c>
      <c r="Q9" s="451">
        <f>SUM(B9:P9)</f>
        <v>1057756.8460002269</v>
      </c>
    </row>
    <row r="10" spans="1:17">
      <c r="A10" s="447" t="s">
        <v>534</v>
      </c>
      <c r="B10" s="448">
        <f>transport!B54</f>
        <v>49.307205177175511</v>
      </c>
      <c r="C10" s="448">
        <f>transport!C54</f>
        <v>0</v>
      </c>
      <c r="D10" s="448">
        <f>transport!D54</f>
        <v>0</v>
      </c>
      <c r="E10" s="448">
        <f>transport!E54</f>
        <v>0</v>
      </c>
      <c r="F10" s="448">
        <f>transport!F54</f>
        <v>0</v>
      </c>
      <c r="G10" s="448">
        <f>transport!G54</f>
        <v>3572.3812780124645</v>
      </c>
      <c r="H10" s="448">
        <f>transport!H54</f>
        <v>0</v>
      </c>
      <c r="I10" s="448">
        <f>transport!I54</f>
        <v>0</v>
      </c>
      <c r="J10" s="448">
        <f>transport!J54</f>
        <v>0</v>
      </c>
      <c r="K10" s="448">
        <f>transport!K54</f>
        <v>0</v>
      </c>
      <c r="L10" s="448">
        <f>transport!L54</f>
        <v>0</v>
      </c>
      <c r="M10" s="448">
        <f>transport!M54</f>
        <v>202.06452363957223</v>
      </c>
      <c r="N10" s="448">
        <f>transport!N54</f>
        <v>0</v>
      </c>
      <c r="O10" s="448">
        <f>transport!O54</f>
        <v>0</v>
      </c>
      <c r="P10" s="449">
        <f>transport!P54</f>
        <v>0</v>
      </c>
      <c r="Q10" s="447">
        <f t="shared" si="0"/>
        <v>3823.7530068292122</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7540.5833510000002</v>
      </c>
      <c r="C14" s="455"/>
      <c r="D14" s="455">
        <f>'SEAP template'!E25</f>
        <v>5378.9731190000002</v>
      </c>
      <c r="E14" s="455"/>
      <c r="F14" s="455"/>
      <c r="G14" s="455"/>
      <c r="H14" s="455"/>
      <c r="I14" s="455"/>
      <c r="J14" s="455"/>
      <c r="K14" s="455"/>
      <c r="L14" s="455"/>
      <c r="M14" s="455"/>
      <c r="N14" s="455"/>
      <c r="O14" s="455"/>
      <c r="P14" s="456"/>
      <c r="Q14" s="447">
        <f t="shared" si="0"/>
        <v>12919.55647</v>
      </c>
    </row>
    <row r="15" spans="1:17" s="459" customFormat="1">
      <c r="A15" s="457" t="s">
        <v>538</v>
      </c>
      <c r="B15" s="458">
        <f ca="1">SUM(B4:B14)</f>
        <v>413230.76599536056</v>
      </c>
      <c r="C15" s="458">
        <f t="shared" ref="C15:Q15" ca="1" si="1">SUM(C4:C14)</f>
        <v>182148.68571428576</v>
      </c>
      <c r="D15" s="458">
        <f t="shared" ca="1" si="1"/>
        <v>278009.68364202534</v>
      </c>
      <c r="E15" s="458">
        <f t="shared" si="1"/>
        <v>12515.317247758001</v>
      </c>
      <c r="F15" s="458">
        <f t="shared" ca="1" si="1"/>
        <v>149216.27806017772</v>
      </c>
      <c r="G15" s="458">
        <f t="shared" si="1"/>
        <v>874103.12280603335</v>
      </c>
      <c r="H15" s="458">
        <f t="shared" si="1"/>
        <v>125232.21856370934</v>
      </c>
      <c r="I15" s="458">
        <f t="shared" si="1"/>
        <v>0</v>
      </c>
      <c r="J15" s="458">
        <f t="shared" si="1"/>
        <v>3640.2823587780667</v>
      </c>
      <c r="K15" s="458">
        <f t="shared" si="1"/>
        <v>0</v>
      </c>
      <c r="L15" s="458">
        <f t="shared" ca="1" si="1"/>
        <v>0</v>
      </c>
      <c r="M15" s="458">
        <f t="shared" si="1"/>
        <v>58672.57134838264</v>
      </c>
      <c r="N15" s="458">
        <f t="shared" ca="1" si="1"/>
        <v>26429.371166660469</v>
      </c>
      <c r="O15" s="458">
        <f t="shared" si="1"/>
        <v>1670.9210867899367</v>
      </c>
      <c r="P15" s="458">
        <f t="shared" si="1"/>
        <v>2315.2498577478937</v>
      </c>
      <c r="Q15" s="458">
        <f t="shared" ca="1" si="1"/>
        <v>2127184.4678477091</v>
      </c>
    </row>
    <row r="17" spans="1:17">
      <c r="A17" s="460" t="s">
        <v>539</v>
      </c>
      <c r="B17" s="776">
        <f ca="1">huishoudens!B10</f>
        <v>7.883022632941375E-2</v>
      </c>
      <c r="C17" s="776">
        <f ca="1">huishoudens!C10</f>
        <v>0.1589433877216275</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7448.3254781617279</v>
      </c>
      <c r="C22" s="448">
        <f t="shared" ref="C22:C32" ca="1" si="3">C4*$C$17</f>
        <v>0</v>
      </c>
      <c r="D22" s="448">
        <f t="shared" ref="D22:D32" si="4">D4*$D$17</f>
        <v>38952.325098372399</v>
      </c>
      <c r="E22" s="448">
        <f t="shared" ref="E22:E32" si="5">E4*$E$17</f>
        <v>1090.3624359844885</v>
      </c>
      <c r="F22" s="448">
        <f t="shared" ref="F22:F32" si="6">F4*$F$17</f>
        <v>20675.557509156297</v>
      </c>
      <c r="G22" s="448">
        <f t="shared" ref="G22:G32" si="7">G4*$G$17</f>
        <v>0</v>
      </c>
      <c r="H22" s="448">
        <f t="shared" ref="H22:H32" si="8">H4*$H$17</f>
        <v>0</v>
      </c>
      <c r="I22" s="448">
        <f t="shared" ref="I22:I32" si="9">I4*$I$17</f>
        <v>0</v>
      </c>
      <c r="J22" s="448">
        <f t="shared" ref="J22:J32" si="10">J4*$J$17</f>
        <v>109.51187643616366</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68276.082398111088</v>
      </c>
    </row>
    <row r="23" spans="1:17">
      <c r="A23" s="447" t="s">
        <v>155</v>
      </c>
      <c r="B23" s="448">
        <f t="shared" ca="1" si="2"/>
        <v>14767.88809266809</v>
      </c>
      <c r="C23" s="448">
        <f t="shared" ca="1" si="3"/>
        <v>5493.6352402768225</v>
      </c>
      <c r="D23" s="448">
        <f t="shared" ca="1" si="4"/>
        <v>15838.600254391305</v>
      </c>
      <c r="E23" s="448">
        <f t="shared" si="5"/>
        <v>397.34464403960328</v>
      </c>
      <c r="F23" s="448">
        <f t="shared" ca="1" si="6"/>
        <v>5176.2956916842622</v>
      </c>
      <c r="G23" s="448">
        <f t="shared" si="7"/>
        <v>0</v>
      </c>
      <c r="H23" s="448">
        <f t="shared" si="8"/>
        <v>0</v>
      </c>
      <c r="I23" s="448">
        <f t="shared" si="9"/>
        <v>0</v>
      </c>
      <c r="J23" s="448">
        <f t="shared" si="10"/>
        <v>5.9571681836835498E-2</v>
      </c>
      <c r="K23" s="448">
        <f t="shared" si="11"/>
        <v>0</v>
      </c>
      <c r="L23" s="448">
        <f t="shared" ca="1" si="12"/>
        <v>0</v>
      </c>
      <c r="M23" s="448">
        <f t="shared" si="13"/>
        <v>0</v>
      </c>
      <c r="N23" s="448">
        <f t="shared" ca="1" si="14"/>
        <v>0</v>
      </c>
      <c r="O23" s="448">
        <f t="shared" si="15"/>
        <v>0</v>
      </c>
      <c r="P23" s="449">
        <f t="shared" si="16"/>
        <v>0</v>
      </c>
      <c r="Q23" s="447">
        <f t="shared" ref="Q23:Q31" ca="1" si="17">SUM(B23:P23)</f>
        <v>41673.823494741911</v>
      </c>
    </row>
    <row r="24" spans="1:17">
      <c r="A24" s="447" t="s">
        <v>193</v>
      </c>
      <c r="B24" s="448">
        <f t="shared" ca="1" si="2"/>
        <v>221.99285440354612</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221.99285440354612</v>
      </c>
    </row>
    <row r="25" spans="1:17">
      <c r="A25" s="447" t="s">
        <v>111</v>
      </c>
      <c r="B25" s="448">
        <f t="shared" ca="1" si="2"/>
        <v>828.19197801446273</v>
      </c>
      <c r="C25" s="448">
        <f t="shared" ca="1" si="3"/>
        <v>17143.100203995968</v>
      </c>
      <c r="D25" s="448">
        <f t="shared" si="4"/>
        <v>0</v>
      </c>
      <c r="E25" s="448">
        <f t="shared" si="5"/>
        <v>74.430902199216703</v>
      </c>
      <c r="F25" s="448">
        <f t="shared" si="6"/>
        <v>9913.5606027835584</v>
      </c>
      <c r="G25" s="448">
        <f t="shared" si="7"/>
        <v>0</v>
      </c>
      <c r="H25" s="448">
        <f t="shared" si="8"/>
        <v>0</v>
      </c>
      <c r="I25" s="448">
        <f t="shared" si="9"/>
        <v>0</v>
      </c>
      <c r="J25" s="448">
        <f t="shared" si="10"/>
        <v>1024.6464584217897</v>
      </c>
      <c r="K25" s="448">
        <f t="shared" si="11"/>
        <v>0</v>
      </c>
      <c r="L25" s="448">
        <f t="shared" si="12"/>
        <v>0</v>
      </c>
      <c r="M25" s="448">
        <f t="shared" si="13"/>
        <v>0</v>
      </c>
      <c r="N25" s="448">
        <f t="shared" si="14"/>
        <v>0</v>
      </c>
      <c r="O25" s="448">
        <f t="shared" si="15"/>
        <v>0</v>
      </c>
      <c r="P25" s="449">
        <f t="shared" si="16"/>
        <v>0</v>
      </c>
      <c r="Q25" s="447">
        <f t="shared" ca="1" si="17"/>
        <v>28983.930145414997</v>
      </c>
    </row>
    <row r="26" spans="1:17">
      <c r="A26" s="447" t="s">
        <v>618</v>
      </c>
      <c r="B26" s="448">
        <f t="shared" ca="1" si="2"/>
        <v>8643.9282973172049</v>
      </c>
      <c r="C26" s="448">
        <f t="shared" ca="1" si="3"/>
        <v>6314.5937321978017</v>
      </c>
      <c r="D26" s="448">
        <f t="shared" si="4"/>
        <v>0</v>
      </c>
      <c r="E26" s="448">
        <f t="shared" si="5"/>
        <v>985.53034772243677</v>
      </c>
      <c r="F26" s="448">
        <f t="shared" si="6"/>
        <v>4075.3324384433313</v>
      </c>
      <c r="G26" s="448">
        <f t="shared" si="7"/>
        <v>0</v>
      </c>
      <c r="H26" s="448">
        <f t="shared" si="8"/>
        <v>0</v>
      </c>
      <c r="I26" s="448">
        <f t="shared" si="9"/>
        <v>0</v>
      </c>
      <c r="J26" s="448">
        <f t="shared" si="10"/>
        <v>154.44204846764541</v>
      </c>
      <c r="K26" s="448">
        <f t="shared" si="11"/>
        <v>0</v>
      </c>
      <c r="L26" s="448">
        <f t="shared" si="12"/>
        <v>0</v>
      </c>
      <c r="M26" s="448">
        <f t="shared" si="13"/>
        <v>0</v>
      </c>
      <c r="N26" s="448">
        <f t="shared" si="14"/>
        <v>0</v>
      </c>
      <c r="O26" s="448">
        <f t="shared" si="15"/>
        <v>0</v>
      </c>
      <c r="P26" s="449">
        <f t="shared" si="16"/>
        <v>0</v>
      </c>
      <c r="Q26" s="447">
        <f t="shared" ca="1" si="17"/>
        <v>20173.826864148421</v>
      </c>
    </row>
    <row r="27" spans="1:17" s="453" customFormat="1">
      <c r="A27" s="451" t="s">
        <v>544</v>
      </c>
      <c r="B27" s="770">
        <f t="shared" ca="1" si="2"/>
        <v>66.435318767327715</v>
      </c>
      <c r="C27" s="452">
        <f t="shared" ca="1" si="3"/>
        <v>0</v>
      </c>
      <c r="D27" s="452">
        <f t="shared" si="4"/>
        <v>280.47817288741777</v>
      </c>
      <c r="E27" s="452">
        <f t="shared" si="5"/>
        <v>293.30868529532108</v>
      </c>
      <c r="F27" s="452">
        <f t="shared" si="6"/>
        <v>0</v>
      </c>
      <c r="G27" s="452">
        <f t="shared" si="7"/>
        <v>232431.70798798162</v>
      </c>
      <c r="H27" s="452">
        <f t="shared" si="8"/>
        <v>31182.822422363624</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264254.75258729531</v>
      </c>
    </row>
    <row r="28" spans="1:17" ht="16.5" customHeight="1">
      <c r="A28" s="447" t="s">
        <v>534</v>
      </c>
      <c r="B28" s="448">
        <f t="shared" ca="1" si="2"/>
        <v>3.8868981437875871</v>
      </c>
      <c r="C28" s="448">
        <f t="shared" ca="1" si="3"/>
        <v>0</v>
      </c>
      <c r="D28" s="448">
        <f t="shared" si="4"/>
        <v>0</v>
      </c>
      <c r="E28" s="448">
        <f t="shared" si="5"/>
        <v>0</v>
      </c>
      <c r="F28" s="448">
        <f t="shared" si="6"/>
        <v>0</v>
      </c>
      <c r="G28" s="448">
        <f t="shared" si="7"/>
        <v>953.82580122932802</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957.71269937311558</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594.42589221513913</v>
      </c>
      <c r="C32" s="448">
        <f t="shared" ca="1" si="3"/>
        <v>0</v>
      </c>
      <c r="D32" s="448">
        <f t="shared" si="4"/>
        <v>1086.5525700380001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1680.9784622531392</v>
      </c>
    </row>
    <row r="33" spans="1:17" s="459" customFormat="1">
      <c r="A33" s="457" t="s">
        <v>538</v>
      </c>
      <c r="B33" s="458">
        <f ca="1">SUM(B22:B32)</f>
        <v>32575.074809691287</v>
      </c>
      <c r="C33" s="458">
        <f t="shared" ref="C33:Q33" ca="1" si="19">SUM(C22:C32)</f>
        <v>28951.32917647059</v>
      </c>
      <c r="D33" s="458">
        <f t="shared" ca="1" si="19"/>
        <v>56157.956095689122</v>
      </c>
      <c r="E33" s="458">
        <f t="shared" si="19"/>
        <v>2840.9770152410665</v>
      </c>
      <c r="F33" s="458">
        <f t="shared" ca="1" si="19"/>
        <v>39840.746242067449</v>
      </c>
      <c r="G33" s="458">
        <f t="shared" si="19"/>
        <v>233385.53378921095</v>
      </c>
      <c r="H33" s="458">
        <f t="shared" si="19"/>
        <v>31182.822422363624</v>
      </c>
      <c r="I33" s="458">
        <f t="shared" si="19"/>
        <v>0</v>
      </c>
      <c r="J33" s="458">
        <f t="shared" si="19"/>
        <v>1288.6599550074357</v>
      </c>
      <c r="K33" s="458">
        <f t="shared" si="19"/>
        <v>0</v>
      </c>
      <c r="L33" s="458">
        <f t="shared" ca="1" si="19"/>
        <v>0</v>
      </c>
      <c r="M33" s="458">
        <f t="shared" si="19"/>
        <v>0</v>
      </c>
      <c r="N33" s="458">
        <f t="shared" ca="1" si="19"/>
        <v>0</v>
      </c>
      <c r="O33" s="458">
        <f t="shared" si="19"/>
        <v>0</v>
      </c>
      <c r="P33" s="458">
        <f t="shared" si="19"/>
        <v>0</v>
      </c>
      <c r="Q33" s="458">
        <f t="shared" ca="1" si="19"/>
        <v>426223.09950574156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183521.43702390528</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46507.763061220649</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42226.649999999994</v>
      </c>
      <c r="C8" s="1021">
        <f>'SEAP template'!C76</f>
        <v>85277.429999999978</v>
      </c>
      <c r="D8" s="1021">
        <f>'SEAP template'!D76</f>
        <v>100326.3882352941</v>
      </c>
      <c r="E8" s="1021">
        <f>'SEAP template'!E76</f>
        <v>0</v>
      </c>
      <c r="F8" s="1021">
        <f>'SEAP template'!F76</f>
        <v>0</v>
      </c>
      <c r="G8" s="1021">
        <f>'SEAP template'!G76</f>
        <v>0</v>
      </c>
      <c r="H8" s="1021">
        <f>'SEAP template'!H76</f>
        <v>0</v>
      </c>
      <c r="I8" s="1021">
        <f>'SEAP template'!I76</f>
        <v>0</v>
      </c>
      <c r="J8" s="1021">
        <f>'SEAP template'!J76</f>
        <v>49678.411764705881</v>
      </c>
      <c r="K8" s="1021">
        <f>'SEAP template'!K76</f>
        <v>0</v>
      </c>
      <c r="L8" s="1021">
        <f>'SEAP template'!L76</f>
        <v>0</v>
      </c>
      <c r="M8" s="1021">
        <f>'SEAP template'!M76</f>
        <v>0</v>
      </c>
      <c r="N8" s="1021">
        <f>'SEAP template'!N76</f>
        <v>0</v>
      </c>
      <c r="O8" s="1021">
        <f>'SEAP template'!O76</f>
        <v>0</v>
      </c>
      <c r="P8" s="1022">
        <f>'SEAP template'!Q76</f>
        <v>20265.930423529411</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272255.85008512589</v>
      </c>
      <c r="C10" s="1023">
        <f>SUM(C4:C9)</f>
        <v>85277.429999999978</v>
      </c>
      <c r="D10" s="1023">
        <f t="shared" ref="D10:H10" si="0">SUM(D8:D9)</f>
        <v>100326.3882352941</v>
      </c>
      <c r="E10" s="1023">
        <f t="shared" si="0"/>
        <v>0</v>
      </c>
      <c r="F10" s="1023">
        <f t="shared" si="0"/>
        <v>0</v>
      </c>
      <c r="G10" s="1023">
        <f t="shared" si="0"/>
        <v>0</v>
      </c>
      <c r="H10" s="1023">
        <f t="shared" si="0"/>
        <v>0</v>
      </c>
      <c r="I10" s="1023">
        <f>SUM(I8:I9)</f>
        <v>0</v>
      </c>
      <c r="J10" s="1023">
        <f>SUM(J8:J9)</f>
        <v>49678.411764705881</v>
      </c>
      <c r="K10" s="1023">
        <f t="shared" ref="K10:L10" si="1">SUM(K8:K9)</f>
        <v>0</v>
      </c>
      <c r="L10" s="1023">
        <f t="shared" si="1"/>
        <v>0</v>
      </c>
      <c r="M10" s="1023">
        <f>SUM(M8:M9)</f>
        <v>0</v>
      </c>
      <c r="N10" s="1023">
        <f>SUM(N8:N9)</f>
        <v>0</v>
      </c>
      <c r="O10" s="1023">
        <f>SUM(O8:O9)</f>
        <v>0</v>
      </c>
      <c r="P10" s="1023">
        <f>SUM(P8:P9)</f>
        <v>20265.930423529411</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7.883022632941375E-2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60323.785714285725</v>
      </c>
      <c r="C17" s="1024">
        <f>'SEAP template'!C87</f>
        <v>121824.9</v>
      </c>
      <c r="D17" s="1022">
        <f>'SEAP template'!D87</f>
        <v>143323.4117647059</v>
      </c>
      <c r="E17" s="1022">
        <f>'SEAP template'!E87</f>
        <v>0</v>
      </c>
      <c r="F17" s="1022">
        <f>'SEAP template'!F87</f>
        <v>0</v>
      </c>
      <c r="G17" s="1022">
        <f>'SEAP template'!G87</f>
        <v>0</v>
      </c>
      <c r="H17" s="1022">
        <f>'SEAP template'!H87</f>
        <v>0</v>
      </c>
      <c r="I17" s="1022">
        <f>'SEAP template'!I87</f>
        <v>0</v>
      </c>
      <c r="J17" s="1022">
        <f>'SEAP template'!J87</f>
        <v>70969.159663865561</v>
      </c>
      <c r="K17" s="1022">
        <f>'SEAP template'!K87</f>
        <v>0</v>
      </c>
      <c r="L17" s="1022">
        <f>'SEAP template'!L87</f>
        <v>0</v>
      </c>
      <c r="M17" s="1022">
        <f>'SEAP template'!M87</f>
        <v>0</v>
      </c>
      <c r="N17" s="1022">
        <f>'SEAP template'!N87</f>
        <v>0</v>
      </c>
      <c r="O17" s="1022">
        <f>'SEAP template'!O87</f>
        <v>0</v>
      </c>
      <c r="P17" s="1022">
        <f>'SEAP template'!Q87</f>
        <v>28951.329176470594</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60323.785714285725</v>
      </c>
      <c r="C20" s="1023">
        <f>SUM(C17:C19)</f>
        <v>121824.9</v>
      </c>
      <c r="D20" s="1023">
        <f t="shared" ref="D20:H20" si="2">SUM(D17:D19)</f>
        <v>143323.4117647059</v>
      </c>
      <c r="E20" s="1023">
        <f t="shared" si="2"/>
        <v>0</v>
      </c>
      <c r="F20" s="1023">
        <f t="shared" si="2"/>
        <v>0</v>
      </c>
      <c r="G20" s="1023">
        <f t="shared" si="2"/>
        <v>0</v>
      </c>
      <c r="H20" s="1023">
        <f t="shared" si="2"/>
        <v>0</v>
      </c>
      <c r="I20" s="1023">
        <f>SUM(I17:I19)</f>
        <v>0</v>
      </c>
      <c r="J20" s="1023">
        <f>SUM(J17:J19)</f>
        <v>70969.159663865561</v>
      </c>
      <c r="K20" s="1023">
        <f t="shared" ref="K20:L20" si="3">SUM(K17:K19)</f>
        <v>0</v>
      </c>
      <c r="L20" s="1023">
        <f t="shared" si="3"/>
        <v>0</v>
      </c>
      <c r="M20" s="1023">
        <f>SUM(M17:M19)</f>
        <v>0</v>
      </c>
      <c r="N20" s="1023">
        <f>SUM(N17:N19)</f>
        <v>0</v>
      </c>
      <c r="O20" s="1023">
        <f>SUM(O17:O19)</f>
        <v>0</v>
      </c>
      <c r="P20" s="1023">
        <f>SUM(P17:P19)</f>
        <v>28951.329176470594</v>
      </c>
    </row>
    <row r="21" spans="1:16">
      <c r="B21" s="881"/>
    </row>
    <row r="22" spans="1:16">
      <c r="A22" s="460" t="s">
        <v>786</v>
      </c>
      <c r="B22" s="776" t="s">
        <v>784</v>
      </c>
      <c r="C22" s="776">
        <f ca="1">'EF ele_warmte'!B22</f>
        <v>0.1589433877216275</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7.883022632941375E-2</v>
      </c>
      <c r="C17" s="496">
        <f ca="1">'EF ele_warmte'!B22</f>
        <v>0.1589433877216275</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7.883022632941375E-2</v>
      </c>
      <c r="C17" s="496">
        <f ca="1">'EF ele_warmte'!B22</f>
        <v>0.1589433877216275</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7.883022632941375E-2</v>
      </c>
      <c r="C29" s="497">
        <f ca="1">'EF ele_warmte'!B22</f>
        <v>0.1589433877216275</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19968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6829.53</v>
      </c>
      <c r="C14" s="326"/>
      <c r="D14" s="326"/>
      <c r="E14" s="326"/>
      <c r="F14" s="326"/>
    </row>
    <row r="15" spans="1:6">
      <c r="A15" s="1298" t="s">
        <v>183</v>
      </c>
      <c r="B15" s="1299">
        <v>46</v>
      </c>
      <c r="C15" s="326"/>
      <c r="D15" s="326"/>
      <c r="E15" s="326"/>
      <c r="F15" s="326"/>
    </row>
    <row r="16" spans="1:6">
      <c r="A16" s="1298" t="s">
        <v>6</v>
      </c>
      <c r="B16" s="1299">
        <v>1917</v>
      </c>
      <c r="C16" s="326"/>
      <c r="D16" s="326"/>
      <c r="E16" s="326"/>
      <c r="F16" s="326"/>
    </row>
    <row r="17" spans="1:6">
      <c r="A17" s="1298" t="s">
        <v>7</v>
      </c>
      <c r="B17" s="1299">
        <v>2230</v>
      </c>
      <c r="C17" s="326"/>
      <c r="D17" s="326"/>
      <c r="E17" s="326"/>
      <c r="F17" s="326"/>
    </row>
    <row r="18" spans="1:6">
      <c r="A18" s="1298" t="s">
        <v>8</v>
      </c>
      <c r="B18" s="1299">
        <v>3045</v>
      </c>
      <c r="C18" s="326"/>
      <c r="D18" s="326"/>
      <c r="E18" s="326"/>
      <c r="F18" s="326"/>
    </row>
    <row r="19" spans="1:6">
      <c r="A19" s="1298" t="s">
        <v>9</v>
      </c>
      <c r="B19" s="1299">
        <v>2968</v>
      </c>
      <c r="C19" s="326"/>
      <c r="D19" s="326"/>
      <c r="E19" s="326"/>
      <c r="F19" s="326"/>
    </row>
    <row r="20" spans="1:6">
      <c r="A20" s="1298" t="s">
        <v>10</v>
      </c>
      <c r="B20" s="1299">
        <v>1734</v>
      </c>
      <c r="C20" s="326"/>
      <c r="D20" s="326"/>
      <c r="E20" s="326"/>
      <c r="F20" s="326"/>
    </row>
    <row r="21" spans="1:6">
      <c r="A21" s="1298" t="s">
        <v>11</v>
      </c>
      <c r="B21" s="1299">
        <v>19228</v>
      </c>
      <c r="C21" s="326"/>
      <c r="D21" s="326"/>
      <c r="E21" s="326"/>
      <c r="F21" s="326"/>
    </row>
    <row r="22" spans="1:6">
      <c r="A22" s="1298" t="s">
        <v>12</v>
      </c>
      <c r="B22" s="1299">
        <v>42970</v>
      </c>
      <c r="C22" s="326"/>
      <c r="D22" s="326"/>
      <c r="E22" s="326"/>
      <c r="F22" s="326"/>
    </row>
    <row r="23" spans="1:6">
      <c r="A23" s="1298" t="s">
        <v>13</v>
      </c>
      <c r="B23" s="1299">
        <v>761</v>
      </c>
      <c r="C23" s="326"/>
      <c r="D23" s="326"/>
      <c r="E23" s="326"/>
      <c r="F23" s="326"/>
    </row>
    <row r="24" spans="1:6">
      <c r="A24" s="1298" t="s">
        <v>14</v>
      </c>
      <c r="B24" s="1299">
        <v>34</v>
      </c>
      <c r="C24" s="326"/>
      <c r="D24" s="326"/>
      <c r="E24" s="326"/>
      <c r="F24" s="326"/>
    </row>
    <row r="25" spans="1:6">
      <c r="A25" s="1298" t="s">
        <v>15</v>
      </c>
      <c r="B25" s="1299">
        <v>4761</v>
      </c>
      <c r="C25" s="326"/>
      <c r="D25" s="326"/>
      <c r="E25" s="326"/>
      <c r="F25" s="326"/>
    </row>
    <row r="26" spans="1:6">
      <c r="A26" s="1298" t="s">
        <v>16</v>
      </c>
      <c r="B26" s="1299">
        <v>107</v>
      </c>
      <c r="C26" s="326"/>
      <c r="D26" s="326"/>
      <c r="E26" s="326"/>
      <c r="F26" s="326"/>
    </row>
    <row r="27" spans="1:6">
      <c r="A27" s="1298" t="s">
        <v>17</v>
      </c>
      <c r="B27" s="1299">
        <v>715</v>
      </c>
      <c r="C27" s="326"/>
      <c r="D27" s="326"/>
      <c r="E27" s="326"/>
      <c r="F27" s="326"/>
    </row>
    <row r="28" spans="1:6" s="43" customFormat="1">
      <c r="A28" s="1300" t="s">
        <v>18</v>
      </c>
      <c r="B28" s="1301">
        <v>638388</v>
      </c>
      <c r="C28" s="332"/>
      <c r="D28" s="332"/>
      <c r="E28" s="332"/>
      <c r="F28" s="332"/>
    </row>
    <row r="29" spans="1:6">
      <c r="A29" s="1300" t="s">
        <v>695</v>
      </c>
      <c r="B29" s="1301">
        <v>417</v>
      </c>
      <c r="C29" s="332"/>
      <c r="D29" s="332"/>
      <c r="E29" s="332"/>
      <c r="F29" s="332"/>
    </row>
    <row r="30" spans="1:6">
      <c r="A30" s="1293" t="s">
        <v>696</v>
      </c>
      <c r="B30" s="1302">
        <v>83</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5</v>
      </c>
      <c r="F35" s="1299">
        <v>147004.785</v>
      </c>
    </row>
    <row r="36" spans="1:6">
      <c r="A36" s="1298" t="s">
        <v>24</v>
      </c>
      <c r="B36" s="1298" t="s">
        <v>26</v>
      </c>
      <c r="C36" s="1299">
        <v>0</v>
      </c>
      <c r="D36" s="1299">
        <v>0</v>
      </c>
      <c r="E36" s="1299">
        <v>34</v>
      </c>
      <c r="F36" s="1299">
        <v>2109811.5189999999</v>
      </c>
    </row>
    <row r="37" spans="1:6">
      <c r="A37" s="1298" t="s">
        <v>24</v>
      </c>
      <c r="B37" s="1298" t="s">
        <v>27</v>
      </c>
      <c r="C37" s="1299">
        <v>0</v>
      </c>
      <c r="D37" s="1299">
        <v>0</v>
      </c>
      <c r="E37" s="1299">
        <v>0</v>
      </c>
      <c r="F37" s="1299">
        <v>0</v>
      </c>
    </row>
    <row r="38" spans="1:6">
      <c r="A38" s="1298" t="s">
        <v>24</v>
      </c>
      <c r="B38" s="1298" t="s">
        <v>28</v>
      </c>
      <c r="C38" s="1299">
        <v>3</v>
      </c>
      <c r="D38" s="1299">
        <v>18623718.300000001</v>
      </c>
      <c r="E38" s="1299">
        <v>3</v>
      </c>
      <c r="F38" s="1299">
        <v>48053.267999999996</v>
      </c>
    </row>
    <row r="39" spans="1:6">
      <c r="A39" s="1298" t="s">
        <v>29</v>
      </c>
      <c r="B39" s="1298" t="s">
        <v>30</v>
      </c>
      <c r="C39" s="1299">
        <v>15015</v>
      </c>
      <c r="D39" s="1299">
        <v>213784138.09999999</v>
      </c>
      <c r="E39" s="1299">
        <v>20041</v>
      </c>
      <c r="F39" s="1299">
        <v>81638379.530000001</v>
      </c>
    </row>
    <row r="40" spans="1:6">
      <c r="A40" s="1298" t="s">
        <v>29</v>
      </c>
      <c r="B40" s="1298" t="s">
        <v>28</v>
      </c>
      <c r="C40" s="1299">
        <v>0</v>
      </c>
      <c r="D40" s="1299">
        <v>0</v>
      </c>
      <c r="E40" s="1299">
        <v>0</v>
      </c>
      <c r="F40" s="1299">
        <v>0</v>
      </c>
    </row>
    <row r="41" spans="1:6">
      <c r="A41" s="1298" t="s">
        <v>31</v>
      </c>
      <c r="B41" s="1298" t="s">
        <v>32</v>
      </c>
      <c r="C41" s="1299">
        <v>196</v>
      </c>
      <c r="D41" s="1299">
        <v>25818137.850000001</v>
      </c>
      <c r="E41" s="1299">
        <v>444</v>
      </c>
      <c r="F41" s="1299">
        <v>7096794.0209999997</v>
      </c>
    </row>
    <row r="42" spans="1:6">
      <c r="A42" s="1298" t="s">
        <v>31</v>
      </c>
      <c r="B42" s="1298" t="s">
        <v>33</v>
      </c>
      <c r="C42" s="1299">
        <v>0</v>
      </c>
      <c r="D42" s="1299">
        <v>0</v>
      </c>
      <c r="E42" s="1299">
        <v>7</v>
      </c>
      <c r="F42" s="1299">
        <v>19577001.649999999</v>
      </c>
    </row>
    <row r="43" spans="1:6">
      <c r="A43" s="1298" t="s">
        <v>31</v>
      </c>
      <c r="B43" s="1298" t="s">
        <v>34</v>
      </c>
      <c r="C43" s="1299">
        <v>0</v>
      </c>
      <c r="D43" s="1299">
        <v>0</v>
      </c>
      <c r="E43" s="1299">
        <v>0</v>
      </c>
      <c r="F43" s="1299">
        <v>0</v>
      </c>
    </row>
    <row r="44" spans="1:6">
      <c r="A44" s="1298" t="s">
        <v>31</v>
      </c>
      <c r="B44" s="1298" t="s">
        <v>35</v>
      </c>
      <c r="C44" s="1299">
        <v>3</v>
      </c>
      <c r="D44" s="1299">
        <v>47373.788999999997</v>
      </c>
      <c r="E44" s="1299">
        <v>35</v>
      </c>
      <c r="F44" s="1299">
        <v>4174893.3629999999</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4</v>
      </c>
      <c r="D47" s="1299">
        <v>85299.37</v>
      </c>
      <c r="E47" s="1299">
        <v>9</v>
      </c>
      <c r="F47" s="1299">
        <v>280429.52899999998</v>
      </c>
    </row>
    <row r="48" spans="1:6">
      <c r="A48" s="1298" t="s">
        <v>31</v>
      </c>
      <c r="B48" s="1298" t="s">
        <v>28</v>
      </c>
      <c r="C48" s="1299">
        <v>53</v>
      </c>
      <c r="D48" s="1299">
        <v>27558154.93</v>
      </c>
      <c r="E48" s="1299">
        <v>82</v>
      </c>
      <c r="F48" s="1299">
        <v>48588173.859999999</v>
      </c>
    </row>
    <row r="49" spans="1:6">
      <c r="A49" s="1298" t="s">
        <v>31</v>
      </c>
      <c r="B49" s="1298" t="s">
        <v>39</v>
      </c>
      <c r="C49" s="1299">
        <v>3</v>
      </c>
      <c r="D49" s="1299">
        <v>30025.945</v>
      </c>
      <c r="E49" s="1299">
        <v>6</v>
      </c>
      <c r="F49" s="1299">
        <v>27655.86</v>
      </c>
    </row>
    <row r="50" spans="1:6">
      <c r="A50" s="1298" t="s">
        <v>31</v>
      </c>
      <c r="B50" s="1298" t="s">
        <v>40</v>
      </c>
      <c r="C50" s="1299">
        <v>24</v>
      </c>
      <c r="D50" s="1299">
        <v>1732831.3259999999</v>
      </c>
      <c r="E50" s="1299">
        <v>27</v>
      </c>
      <c r="F50" s="1299">
        <v>2097512.452</v>
      </c>
    </row>
    <row r="51" spans="1:6">
      <c r="A51" s="1298" t="s">
        <v>41</v>
      </c>
      <c r="B51" s="1298" t="s">
        <v>42</v>
      </c>
      <c r="C51" s="1299">
        <v>57</v>
      </c>
      <c r="D51" s="1299">
        <v>145833258.40000001</v>
      </c>
      <c r="E51" s="1299">
        <v>343</v>
      </c>
      <c r="F51" s="1299">
        <v>10425168.380000001</v>
      </c>
    </row>
    <row r="52" spans="1:6">
      <c r="A52" s="1298" t="s">
        <v>41</v>
      </c>
      <c r="B52" s="1298" t="s">
        <v>28</v>
      </c>
      <c r="C52" s="1299">
        <v>8</v>
      </c>
      <c r="D52" s="1299">
        <v>158793.00099999999</v>
      </c>
      <c r="E52" s="1299">
        <v>7</v>
      </c>
      <c r="F52" s="1299">
        <v>80852.172999999995</v>
      </c>
    </row>
    <row r="53" spans="1:6">
      <c r="A53" s="1298" t="s">
        <v>43</v>
      </c>
      <c r="B53" s="1298" t="s">
        <v>44</v>
      </c>
      <c r="C53" s="1299">
        <v>330</v>
      </c>
      <c r="D53" s="1299">
        <v>5378973.1189999999</v>
      </c>
      <c r="E53" s="1299">
        <v>766</v>
      </c>
      <c r="F53" s="1299">
        <v>7540583.3509999998</v>
      </c>
    </row>
    <row r="54" spans="1:6">
      <c r="A54" s="1298" t="s">
        <v>45</v>
      </c>
      <c r="B54" s="1298" t="s">
        <v>46</v>
      </c>
      <c r="C54" s="1299">
        <v>0</v>
      </c>
      <c r="D54" s="1299">
        <v>0</v>
      </c>
      <c r="E54" s="1299">
        <v>1</v>
      </c>
      <c r="F54" s="1299">
        <v>2816088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150</v>
      </c>
      <c r="D57" s="1299">
        <v>10939315.4</v>
      </c>
      <c r="E57" s="1299">
        <v>233</v>
      </c>
      <c r="F57" s="1299">
        <v>8001564.3799999999</v>
      </c>
    </row>
    <row r="58" spans="1:6">
      <c r="A58" s="1298" t="s">
        <v>48</v>
      </c>
      <c r="B58" s="1298" t="s">
        <v>50</v>
      </c>
      <c r="C58" s="1299">
        <v>71</v>
      </c>
      <c r="D58" s="1299">
        <v>3608760.2</v>
      </c>
      <c r="E58" s="1299">
        <v>95</v>
      </c>
      <c r="F58" s="1299">
        <v>2943978.8509999998</v>
      </c>
    </row>
    <row r="59" spans="1:6">
      <c r="A59" s="1298" t="s">
        <v>48</v>
      </c>
      <c r="B59" s="1298" t="s">
        <v>51</v>
      </c>
      <c r="C59" s="1299">
        <v>273</v>
      </c>
      <c r="D59" s="1299">
        <v>9427807.6119999997</v>
      </c>
      <c r="E59" s="1299">
        <v>607</v>
      </c>
      <c r="F59" s="1299">
        <v>21278242.25</v>
      </c>
    </row>
    <row r="60" spans="1:6">
      <c r="A60" s="1298" t="s">
        <v>48</v>
      </c>
      <c r="B60" s="1298" t="s">
        <v>52</v>
      </c>
      <c r="C60" s="1299">
        <v>132</v>
      </c>
      <c r="D60" s="1299">
        <v>4885070.6349999998</v>
      </c>
      <c r="E60" s="1299">
        <v>183</v>
      </c>
      <c r="F60" s="1299">
        <v>3876757.608</v>
      </c>
    </row>
    <row r="61" spans="1:6">
      <c r="A61" s="1298" t="s">
        <v>48</v>
      </c>
      <c r="B61" s="1298" t="s">
        <v>53</v>
      </c>
      <c r="C61" s="1299">
        <v>466</v>
      </c>
      <c r="D61" s="1299">
        <v>25981093.91</v>
      </c>
      <c r="E61" s="1299">
        <v>854</v>
      </c>
      <c r="F61" s="1299">
        <v>109235492.40000001</v>
      </c>
    </row>
    <row r="62" spans="1:6">
      <c r="A62" s="1298" t="s">
        <v>48</v>
      </c>
      <c r="B62" s="1298" t="s">
        <v>54</v>
      </c>
      <c r="C62" s="1299">
        <v>26</v>
      </c>
      <c r="D62" s="1299">
        <v>3047976.469</v>
      </c>
      <c r="E62" s="1299">
        <v>30</v>
      </c>
      <c r="F62" s="1299">
        <v>876825.41700000002</v>
      </c>
    </row>
    <row r="63" spans="1:6">
      <c r="A63" s="1298" t="s">
        <v>48</v>
      </c>
      <c r="B63" s="1298" t="s">
        <v>28</v>
      </c>
      <c r="C63" s="1299">
        <v>161</v>
      </c>
      <c r="D63" s="1299">
        <v>63283714.299999997</v>
      </c>
      <c r="E63" s="1299">
        <v>152</v>
      </c>
      <c r="F63" s="1299">
        <v>16930596.859999999</v>
      </c>
    </row>
    <row r="64" spans="1:6">
      <c r="A64" s="1298" t="s">
        <v>55</v>
      </c>
      <c r="B64" s="1298" t="s">
        <v>56</v>
      </c>
      <c r="C64" s="1299">
        <v>0</v>
      </c>
      <c r="D64" s="1299">
        <v>0</v>
      </c>
      <c r="E64" s="1299">
        <v>0</v>
      </c>
      <c r="F64" s="1299">
        <v>0</v>
      </c>
    </row>
    <row r="65" spans="1:6">
      <c r="A65" s="1298" t="s">
        <v>55</v>
      </c>
      <c r="B65" s="1298" t="s">
        <v>28</v>
      </c>
      <c r="C65" s="1299">
        <v>1</v>
      </c>
      <c r="D65" s="1299">
        <v>36927.517999999996</v>
      </c>
      <c r="E65" s="1299">
        <v>2</v>
      </c>
      <c r="F65" s="1299">
        <v>54351.946000000004</v>
      </c>
    </row>
    <row r="66" spans="1:6">
      <c r="A66" s="1298" t="s">
        <v>55</v>
      </c>
      <c r="B66" s="1298" t="s">
        <v>57</v>
      </c>
      <c r="C66" s="1299">
        <v>0</v>
      </c>
      <c r="D66" s="1299">
        <v>0</v>
      </c>
      <c r="E66" s="1299">
        <v>30</v>
      </c>
      <c r="F66" s="1299">
        <v>3286609.4750000001</v>
      </c>
    </row>
    <row r="67" spans="1:6">
      <c r="A67" s="1300" t="s">
        <v>55</v>
      </c>
      <c r="B67" s="1300" t="s">
        <v>58</v>
      </c>
      <c r="C67" s="1299">
        <v>0</v>
      </c>
      <c r="D67" s="1299">
        <v>0</v>
      </c>
      <c r="E67" s="1299">
        <v>0</v>
      </c>
      <c r="F67" s="1299">
        <v>0</v>
      </c>
    </row>
    <row r="68" spans="1:6">
      <c r="A68" s="1293" t="s">
        <v>55</v>
      </c>
      <c r="B68" s="1293" t="s">
        <v>59</v>
      </c>
      <c r="C68" s="1302">
        <v>15</v>
      </c>
      <c r="D68" s="1302">
        <v>1542777.7</v>
      </c>
      <c r="E68" s="1302">
        <v>45</v>
      </c>
      <c r="F68" s="1302">
        <v>1877932.6070000001</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284068194</v>
      </c>
      <c r="E73" s="446"/>
      <c r="F73" s="326"/>
    </row>
    <row r="74" spans="1:6">
      <c r="A74" s="1298" t="s">
        <v>63</v>
      </c>
      <c r="B74" s="1298" t="s">
        <v>639</v>
      </c>
      <c r="C74" s="1312" t="s">
        <v>641</v>
      </c>
      <c r="D74" s="1313">
        <v>53955152</v>
      </c>
      <c r="E74" s="446"/>
      <c r="F74" s="326"/>
    </row>
    <row r="75" spans="1:6">
      <c r="A75" s="1298" t="s">
        <v>64</v>
      </c>
      <c r="B75" s="1298" t="s">
        <v>638</v>
      </c>
      <c r="C75" s="1312" t="s">
        <v>642</v>
      </c>
      <c r="D75" s="1313">
        <v>180978590</v>
      </c>
      <c r="E75" s="446"/>
      <c r="F75" s="326"/>
    </row>
    <row r="76" spans="1:6">
      <c r="A76" s="1298" t="s">
        <v>64</v>
      </c>
      <c r="B76" s="1298" t="s">
        <v>639</v>
      </c>
      <c r="C76" s="1312" t="s">
        <v>643</v>
      </c>
      <c r="D76" s="1313">
        <v>35320662</v>
      </c>
      <c r="E76" s="446"/>
      <c r="F76" s="326"/>
    </row>
    <row r="77" spans="1:6">
      <c r="A77" s="1298" t="s">
        <v>65</v>
      </c>
      <c r="B77" s="1298" t="s">
        <v>638</v>
      </c>
      <c r="C77" s="1312" t="s">
        <v>644</v>
      </c>
      <c r="D77" s="1313">
        <v>319619802</v>
      </c>
      <c r="E77" s="446"/>
      <c r="F77" s="326"/>
    </row>
    <row r="78" spans="1:6">
      <c r="A78" s="1293" t="s">
        <v>65</v>
      </c>
      <c r="B78" s="1293" t="s">
        <v>639</v>
      </c>
      <c r="C78" s="1293" t="s">
        <v>645</v>
      </c>
      <c r="D78" s="1314">
        <v>91505526</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1047786</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183521.43702390528</v>
      </c>
      <c r="C90" s="326"/>
      <c r="D90" s="326"/>
      <c r="E90" s="326"/>
      <c r="F90" s="326"/>
    </row>
    <row r="91" spans="1:6">
      <c r="A91" s="1298" t="s">
        <v>67</v>
      </c>
      <c r="B91" s="1299">
        <v>12847.274323597398</v>
      </c>
      <c r="C91" s="326"/>
      <c r="D91" s="326"/>
      <c r="E91" s="326"/>
      <c r="F91" s="326"/>
    </row>
    <row r="92" spans="1:6">
      <c r="A92" s="1293" t="s">
        <v>68</v>
      </c>
      <c r="B92" s="1294">
        <v>33660.488737623251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9871</v>
      </c>
      <c r="C97" s="326"/>
      <c r="D97" s="326"/>
      <c r="E97" s="326"/>
      <c r="F97" s="326"/>
    </row>
    <row r="98" spans="1:6">
      <c r="A98" s="1298" t="s">
        <v>71</v>
      </c>
      <c r="B98" s="1299">
        <v>3</v>
      </c>
      <c r="C98" s="326"/>
      <c r="D98" s="326"/>
      <c r="E98" s="326"/>
      <c r="F98" s="326"/>
    </row>
    <row r="99" spans="1:6">
      <c r="A99" s="1298" t="s">
        <v>72</v>
      </c>
      <c r="B99" s="1299">
        <v>133</v>
      </c>
      <c r="C99" s="326"/>
      <c r="D99" s="326"/>
      <c r="E99" s="326"/>
      <c r="F99" s="326"/>
    </row>
    <row r="100" spans="1:6">
      <c r="A100" s="1298" t="s">
        <v>73</v>
      </c>
      <c r="B100" s="1299">
        <v>2776</v>
      </c>
      <c r="C100" s="326"/>
      <c r="D100" s="326"/>
      <c r="E100" s="326"/>
      <c r="F100" s="326"/>
    </row>
    <row r="101" spans="1:6">
      <c r="A101" s="1298" t="s">
        <v>74</v>
      </c>
      <c r="B101" s="1299">
        <v>316</v>
      </c>
      <c r="C101" s="326"/>
      <c r="D101" s="326"/>
      <c r="E101" s="326"/>
      <c r="F101" s="326"/>
    </row>
    <row r="102" spans="1:6">
      <c r="A102" s="1298" t="s">
        <v>75</v>
      </c>
      <c r="B102" s="1299">
        <v>369</v>
      </c>
      <c r="C102" s="326"/>
      <c r="D102" s="326"/>
      <c r="E102" s="326"/>
      <c r="F102" s="326"/>
    </row>
    <row r="103" spans="1:6">
      <c r="A103" s="1298" t="s">
        <v>76</v>
      </c>
      <c r="B103" s="1299">
        <v>626</v>
      </c>
      <c r="C103" s="326"/>
      <c r="D103" s="326"/>
      <c r="E103" s="326"/>
      <c r="F103" s="326"/>
    </row>
    <row r="104" spans="1:6">
      <c r="A104" s="1298" t="s">
        <v>77</v>
      </c>
      <c r="B104" s="1299">
        <v>3115</v>
      </c>
      <c r="C104" s="326"/>
      <c r="D104" s="326"/>
      <c r="E104" s="326"/>
      <c r="F104" s="326"/>
    </row>
    <row r="105" spans="1:6">
      <c r="A105" s="1293" t="s">
        <v>78</v>
      </c>
      <c r="B105" s="1302">
        <v>19</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11</v>
      </c>
      <c r="C121" s="1299">
        <v>0</v>
      </c>
      <c r="D121" s="326"/>
      <c r="E121" s="326"/>
      <c r="F121" s="326"/>
    </row>
    <row r="122" spans="1:6">
      <c r="A122" s="1298" t="s">
        <v>86</v>
      </c>
      <c r="B122" s="1299">
        <v>3</v>
      </c>
      <c r="C122" s="1299">
        <v>0</v>
      </c>
      <c r="D122" s="326"/>
      <c r="E122" s="326"/>
      <c r="F122" s="326"/>
    </row>
    <row r="123" spans="1:6">
      <c r="A123" s="1298" t="s">
        <v>87</v>
      </c>
      <c r="B123" s="1299">
        <v>84</v>
      </c>
      <c r="C123" s="1299">
        <v>179</v>
      </c>
      <c r="D123" s="326"/>
      <c r="E123" s="326"/>
      <c r="F123" s="326"/>
    </row>
    <row r="124" spans="1:6" s="43" customFormat="1">
      <c r="A124" s="1300" t="s">
        <v>88</v>
      </c>
      <c r="B124" s="1321">
        <v>2</v>
      </c>
      <c r="C124" s="1321">
        <v>3</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638</v>
      </c>
      <c r="C129" s="326"/>
      <c r="D129" s="326"/>
      <c r="E129" s="326"/>
      <c r="F129" s="326"/>
    </row>
    <row r="130" spans="1:6">
      <c r="A130" s="1298" t="s">
        <v>289</v>
      </c>
      <c r="B130" s="1299">
        <v>9</v>
      </c>
      <c r="C130" s="326"/>
      <c r="D130" s="326"/>
      <c r="E130" s="326"/>
      <c r="F130" s="326"/>
    </row>
    <row r="131" spans="1:6">
      <c r="A131" s="1298" t="s">
        <v>290</v>
      </c>
      <c r="B131" s="1299">
        <v>3</v>
      </c>
      <c r="C131" s="326"/>
      <c r="D131" s="326"/>
      <c r="E131" s="326"/>
      <c r="F131" s="326"/>
    </row>
    <row r="132" spans="1:6">
      <c r="A132" s="1293" t="s">
        <v>291</v>
      </c>
      <c r="B132" s="1294">
        <v>49</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413230.76599536062</v>
      </c>
      <c r="C3" s="43" t="s">
        <v>169</v>
      </c>
      <c r="D3" s="43"/>
      <c r="E3" s="154"/>
      <c r="F3" s="43"/>
      <c r="G3" s="43"/>
      <c r="H3" s="43"/>
      <c r="I3" s="43"/>
      <c r="J3" s="43"/>
      <c r="K3" s="96"/>
    </row>
    <row r="4" spans="1:11">
      <c r="A4" s="354" t="s">
        <v>170</v>
      </c>
      <c r="B4" s="49">
        <f>IF(ISERROR('SEAP template'!B78+'SEAP template'!C78),0,'SEAP template'!B78+'SEAP template'!C78)</f>
        <v>357533.28008512588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20265.930423529411</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7.883022632941375E-2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28951.329176470594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182148.68571428576</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0.1589433877216275</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2816.0880000000002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2816.0880000000002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7.883022632941375E-2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221.99285440354612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81638.379530000006</v>
      </c>
      <c r="C5" s="17">
        <f>IF(ISERROR('Eigen informatie GS &amp; warmtenet'!B59),0,'Eigen informatie GS &amp; warmtenet'!B59)</f>
        <v>0</v>
      </c>
      <c r="D5" s="30">
        <f>(SUM(HH_hh_gas_kWh,HH_rest_gas_kWh)/1000)*0.902</f>
        <v>192833.29256619999</v>
      </c>
      <c r="E5" s="17">
        <f>B32*B41</f>
        <v>4803.3587488303456</v>
      </c>
      <c r="F5" s="17">
        <f>B36*B45</f>
        <v>77436.544978113467</v>
      </c>
      <c r="G5" s="18"/>
      <c r="H5" s="17"/>
      <c r="I5" s="17"/>
      <c r="J5" s="17">
        <f>B35*B44+C35*C44</f>
        <v>309.35558315300472</v>
      </c>
      <c r="K5" s="17"/>
      <c r="L5" s="17"/>
      <c r="M5" s="17"/>
      <c r="N5" s="17">
        <f>B34*B43+C34*C43</f>
        <v>26429.371166660469</v>
      </c>
      <c r="O5" s="17">
        <f>B52*B53*B54</f>
        <v>1626.8457398973662</v>
      </c>
      <c r="P5" s="17">
        <f>B60*B61*B62/1000-B60*B61*B62/1000/B63</f>
        <v>1422.0845065374783</v>
      </c>
    </row>
    <row r="6" spans="1:16">
      <c r="A6" s="16" t="s">
        <v>604</v>
      </c>
      <c r="B6" s="778">
        <f>kWh_PV_kleiner_dan_10kW</f>
        <v>12847.274323597398</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94485.65385359741</v>
      </c>
      <c r="C8" s="21">
        <f>C5</f>
        <v>0</v>
      </c>
      <c r="D8" s="21">
        <f>D5</f>
        <v>192833.29256619999</v>
      </c>
      <c r="E8" s="21">
        <f>E5</f>
        <v>4803.3587488303456</v>
      </c>
      <c r="F8" s="21">
        <f>F5</f>
        <v>77436.544978113467</v>
      </c>
      <c r="G8" s="21"/>
      <c r="H8" s="21"/>
      <c r="I8" s="21"/>
      <c r="J8" s="21">
        <f>J5</f>
        <v>309.35558315300472</v>
      </c>
      <c r="K8" s="21"/>
      <c r="L8" s="21">
        <f>L5</f>
        <v>0</v>
      </c>
      <c r="M8" s="21">
        <f>M5</f>
        <v>0</v>
      </c>
      <c r="N8" s="21">
        <f>N5</f>
        <v>26429.371166660469</v>
      </c>
      <c r="O8" s="21">
        <f>O5</f>
        <v>1626.8457398973662</v>
      </c>
      <c r="P8" s="21">
        <f>P5</f>
        <v>1422.0845065374783</v>
      </c>
    </row>
    <row r="9" spans="1:16">
      <c r="B9" s="19"/>
      <c r="C9" s="19"/>
      <c r="D9" s="256"/>
      <c r="E9" s="19"/>
      <c r="F9" s="19"/>
      <c r="G9" s="19"/>
      <c r="H9" s="19"/>
      <c r="I9" s="19"/>
      <c r="J9" s="19"/>
      <c r="K9" s="19"/>
      <c r="L9" s="19"/>
      <c r="M9" s="19"/>
      <c r="N9" s="19"/>
      <c r="O9" s="19"/>
      <c r="P9" s="19"/>
    </row>
    <row r="10" spans="1:16">
      <c r="A10" s="24" t="s">
        <v>213</v>
      </c>
      <c r="B10" s="25">
        <f ca="1">'EF ele_warmte'!B12</f>
        <v>7.883022632941375E-2</v>
      </c>
      <c r="C10" s="25">
        <f ca="1">'EF ele_warmte'!B22</f>
        <v>0.1589433877216275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7448.3254781617279</v>
      </c>
      <c r="C12" s="23">
        <f ca="1">C10*C8</f>
        <v>0</v>
      </c>
      <c r="D12" s="23">
        <f>D8*D10</f>
        <v>38952.325098372399</v>
      </c>
      <c r="E12" s="23">
        <f>E10*E8</f>
        <v>1090.3624359844885</v>
      </c>
      <c r="F12" s="23">
        <f>F10*F8</f>
        <v>20675.557509156297</v>
      </c>
      <c r="G12" s="23"/>
      <c r="H12" s="23"/>
      <c r="I12" s="23"/>
      <c r="J12" s="23">
        <f>J10*J8</f>
        <v>109.51187643616366</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19968</v>
      </c>
      <c r="C26" s="36"/>
      <c r="D26" s="226"/>
    </row>
    <row r="27" spans="1:7" s="15" customFormat="1">
      <c r="A27" s="228" t="s">
        <v>806</v>
      </c>
      <c r="B27" s="37">
        <f>SUM(HH_hh_gas_aantal,HH_rest_gas_aantal)</f>
        <v>15015</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14264.25</v>
      </c>
      <c r="C31" s="166" t="s">
        <v>110</v>
      </c>
      <c r="D31" s="231"/>
      <c r="G31" s="15"/>
    </row>
    <row r="32" spans="1:7">
      <c r="A32" s="169" t="s">
        <v>72</v>
      </c>
      <c r="B32" s="166">
        <f>IF((B21*($B$26-($B$27-0.05*$B$27)-$B$60))&lt;0,0,B21*($B$26-($B$27-0.05*$B$27)-$B$60))</f>
        <v>88.405012726848852</v>
      </c>
      <c r="C32" s="166" t="s">
        <v>110</v>
      </c>
      <c r="D32" s="231"/>
      <c r="G32" s="15"/>
    </row>
    <row r="33" spans="1:7">
      <c r="A33" s="169" t="s">
        <v>73</v>
      </c>
      <c r="B33" s="166">
        <f>IF((B22*($B$26-($B$27-0.05*$B$27)-$B$60))&lt;0,0,B22*($B$26-($B$27-0.05*$B$27)-$B$60))</f>
        <v>1435.5223186345729</v>
      </c>
      <c r="C33" s="166" t="s">
        <v>110</v>
      </c>
      <c r="D33" s="231"/>
      <c r="G33" s="15"/>
    </row>
    <row r="34" spans="1:7">
      <c r="A34" s="169" t="s">
        <v>74</v>
      </c>
      <c r="B34" s="166">
        <f>IF((B24*($B$26-($B$27-0.05*$B$27)-$B$60))&lt;0,0,B24*($B$26-($B$27-0.05*$B$27)-$B$60))</f>
        <v>275.20883930813562</v>
      </c>
      <c r="C34" s="166">
        <f>B26*C24</f>
        <v>4091.5618060570741</v>
      </c>
      <c r="D34" s="231"/>
      <c r="G34" s="15"/>
    </row>
    <row r="35" spans="1:7">
      <c r="A35" s="169" t="s">
        <v>76</v>
      </c>
      <c r="B35" s="166">
        <f>IF((B19*($B$26-($B$27-0.05*$B$27)-$B$60))&lt;0,0,B19*($B$26-($B$27-0.05*$B$27)-$B$60))</f>
        <v>38.42944826904197</v>
      </c>
      <c r="C35" s="166">
        <f>B35/2</f>
        <v>19.214724134520985</v>
      </c>
      <c r="D35" s="232"/>
      <c r="G35" s="15"/>
    </row>
    <row r="36" spans="1:7">
      <c r="A36" s="169" t="s">
        <v>77</v>
      </c>
      <c r="B36" s="166">
        <f>IF((B18*($B$26-($B$27-0.05*$B$27)-$B$60))&lt;0,0,B18*($B$26-($B$27-0.05*$B$27)-$B$60))</f>
        <v>3731.1843810613996</v>
      </c>
      <c r="C36" s="166" t="s">
        <v>110</v>
      </c>
      <c r="D36" s="232"/>
      <c r="G36" s="15"/>
    </row>
    <row r="37" spans="1:7">
      <c r="A37" s="169" t="s">
        <v>78</v>
      </c>
      <c r="B37" s="166">
        <f>B60</f>
        <v>135</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820</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135</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163143.45776600001</v>
      </c>
      <c r="C5" s="17">
        <f>IF(ISERROR('Eigen informatie GS &amp; warmtenet'!B60),0,'Eigen informatie GS &amp; warmtenet'!B60)</f>
        <v>0</v>
      </c>
      <c r="D5" s="30">
        <f>SUM(D6:D12)</f>
        <v>109298.712150452</v>
      </c>
      <c r="E5" s="17">
        <f>SUM(E6:E12)</f>
        <v>1750.4169340951685</v>
      </c>
      <c r="F5" s="17">
        <f>SUM(F6:F12)</f>
        <v>19386.87524975379</v>
      </c>
      <c r="G5" s="18"/>
      <c r="H5" s="17"/>
      <c r="I5" s="17"/>
      <c r="J5" s="17">
        <f>SUM(J6:J12)</f>
        <v>0.16828158710970481</v>
      </c>
      <c r="K5" s="17"/>
      <c r="L5" s="17"/>
      <c r="M5" s="17"/>
      <c r="N5" s="17">
        <f>SUM(N6:N12)</f>
        <v>6668.0909495706164</v>
      </c>
      <c r="O5" s="17">
        <f>B38*B39*B40</f>
        <v>44.075346892570387</v>
      </c>
      <c r="P5" s="17">
        <f>B46*B47*B48/1000-B46*B47*B48/1000/B49</f>
        <v>893.16535121041511</v>
      </c>
      <c r="R5" s="32"/>
    </row>
    <row r="6" spans="1:18">
      <c r="A6" s="32" t="s">
        <v>53</v>
      </c>
      <c r="B6" s="37">
        <f>B26</f>
        <v>109235.4924</v>
      </c>
      <c r="C6" s="33"/>
      <c r="D6" s="37">
        <f>IF(ISERROR(TER_kantoor_gas_kWh/1000),0,TER_kantoor_gas_kWh/1000)*0.902</f>
        <v>23434.946706819999</v>
      </c>
      <c r="E6" s="33">
        <f>$C$26*'E Balans VL '!I12/100/3.6*1000000</f>
        <v>878.98298368468875</v>
      </c>
      <c r="F6" s="33">
        <f>$C$26*('E Balans VL '!L12+'E Balans VL '!N12)/100/3.6*1000000</f>
        <v>13355.188066490196</v>
      </c>
      <c r="G6" s="34"/>
      <c r="H6" s="33"/>
      <c r="I6" s="33"/>
      <c r="J6" s="33">
        <f>$C$26*('E Balans VL '!D12+'E Balans VL '!E12)/100/3.6*1000000</f>
        <v>0</v>
      </c>
      <c r="K6" s="33"/>
      <c r="L6" s="33"/>
      <c r="M6" s="33"/>
      <c r="N6" s="33">
        <f>$C$26*'E Balans VL '!Y12/100/3.6*1000000</f>
        <v>58.708697899221427</v>
      </c>
      <c r="O6" s="33"/>
      <c r="P6" s="33"/>
      <c r="R6" s="32"/>
    </row>
    <row r="7" spans="1:18">
      <c r="A7" s="32" t="s">
        <v>52</v>
      </c>
      <c r="B7" s="37">
        <f t="shared" ref="B7:B12" si="0">B27</f>
        <v>3876.7576079999999</v>
      </c>
      <c r="C7" s="33"/>
      <c r="D7" s="37">
        <f>IF(ISERROR(TER_horeca_gas_kWh/1000),0,TER_horeca_gas_kWh/1000)*0.902</f>
        <v>4406.3337127700006</v>
      </c>
      <c r="E7" s="33">
        <f>$C$27*'E Balans VL '!I9/100/3.6*1000000</f>
        <v>41.626857057539091</v>
      </c>
      <c r="F7" s="33">
        <f>$C$27*('E Balans VL '!L9+'E Balans VL '!N9)/100/3.6*1000000</f>
        <v>466.27993393847015</v>
      </c>
      <c r="G7" s="34"/>
      <c r="H7" s="33"/>
      <c r="I7" s="33"/>
      <c r="J7" s="33">
        <f>$C$27*('E Balans VL '!D9+'E Balans VL '!E9)/100/3.6*1000000</f>
        <v>0</v>
      </c>
      <c r="K7" s="33"/>
      <c r="L7" s="33"/>
      <c r="M7" s="33"/>
      <c r="N7" s="33">
        <f>$C$27*'E Balans VL '!Y9/100/3.6*1000000</f>
        <v>0.58120453819373263</v>
      </c>
      <c r="O7" s="33"/>
      <c r="P7" s="33"/>
      <c r="R7" s="32"/>
    </row>
    <row r="8" spans="1:18">
      <c r="A8" s="6" t="s">
        <v>51</v>
      </c>
      <c r="B8" s="37">
        <f t="shared" si="0"/>
        <v>21278.242249999999</v>
      </c>
      <c r="C8" s="33"/>
      <c r="D8" s="37">
        <f>IF(ISERROR(TER_handel_gas_kWh/1000),0,TER_handel_gas_kWh/1000)*0.902</f>
        <v>8503.8824660240007</v>
      </c>
      <c r="E8" s="33">
        <f>$C$28*'E Balans VL '!I13/100/3.6*1000000</f>
        <v>571.04287928328745</v>
      </c>
      <c r="F8" s="33">
        <f>$C$28*('E Balans VL '!L13+'E Balans VL '!N13)/100/3.6*1000000</f>
        <v>2030.600122986104</v>
      </c>
      <c r="G8" s="34"/>
      <c r="H8" s="33"/>
      <c r="I8" s="33"/>
      <c r="J8" s="33">
        <f>$C$28*('E Balans VL '!D13+'E Balans VL '!E13)/100/3.6*1000000</f>
        <v>0</v>
      </c>
      <c r="K8" s="33"/>
      <c r="L8" s="33"/>
      <c r="M8" s="33"/>
      <c r="N8" s="33">
        <f>$C$28*'E Balans VL '!Y13/100/3.6*1000000</f>
        <v>8.434937169716731</v>
      </c>
      <c r="O8" s="33"/>
      <c r="P8" s="33"/>
      <c r="R8" s="32"/>
    </row>
    <row r="9" spans="1:18">
      <c r="A9" s="32" t="s">
        <v>50</v>
      </c>
      <c r="B9" s="37">
        <f t="shared" si="0"/>
        <v>2943.9788509999998</v>
      </c>
      <c r="C9" s="33"/>
      <c r="D9" s="37">
        <f>IF(ISERROR(TER_gezond_gas_kWh/1000),0,TER_gezond_gas_kWh/1000)*0.902</f>
        <v>3255.1017004</v>
      </c>
      <c r="E9" s="33">
        <f>$C$29*'E Balans VL '!I10/100/3.6*1000000</f>
        <v>5.5179749679139887</v>
      </c>
      <c r="F9" s="33">
        <f>$C$29*('E Balans VL '!L10+'E Balans VL '!N10)/100/3.6*1000000</f>
        <v>242.02192328942954</v>
      </c>
      <c r="G9" s="34"/>
      <c r="H9" s="33"/>
      <c r="I9" s="33"/>
      <c r="J9" s="33">
        <f>$C$29*('E Balans VL '!D10+'E Balans VL '!E10)/100/3.6*1000000</f>
        <v>0</v>
      </c>
      <c r="K9" s="33"/>
      <c r="L9" s="33"/>
      <c r="M9" s="33"/>
      <c r="N9" s="33">
        <f>$C$29*'E Balans VL '!Y10/100/3.6*1000000</f>
        <v>22.906351984614666</v>
      </c>
      <c r="O9" s="33"/>
      <c r="P9" s="33"/>
      <c r="R9" s="32"/>
    </row>
    <row r="10" spans="1:18">
      <c r="A10" s="32" t="s">
        <v>49</v>
      </c>
      <c r="B10" s="37">
        <f t="shared" si="0"/>
        <v>8001.5643799999998</v>
      </c>
      <c r="C10" s="33"/>
      <c r="D10" s="37">
        <f>IF(ISERROR(TER_ander_gas_kWh/1000),0,TER_ander_gas_kWh/1000)*0.902</f>
        <v>9867.2624907999998</v>
      </c>
      <c r="E10" s="33">
        <f>$C$30*'E Balans VL '!I14/100/3.6*1000000</f>
        <v>12.33449257036909</v>
      </c>
      <c r="F10" s="33">
        <f>$C$30*('E Balans VL '!L14+'E Balans VL '!N14)/100/3.6*1000000</f>
        <v>1242.2450789482925</v>
      </c>
      <c r="G10" s="34"/>
      <c r="H10" s="33"/>
      <c r="I10" s="33"/>
      <c r="J10" s="33">
        <f>$C$30*('E Balans VL '!D14+'E Balans VL '!E14)/100/3.6*1000000</f>
        <v>0.13583499399873258</v>
      </c>
      <c r="K10" s="33"/>
      <c r="L10" s="33"/>
      <c r="M10" s="33"/>
      <c r="N10" s="33">
        <f>$C$30*'E Balans VL '!Y14/100/3.6*1000000</f>
        <v>5293.5785455946161</v>
      </c>
      <c r="O10" s="33"/>
      <c r="P10" s="33"/>
      <c r="R10" s="32"/>
    </row>
    <row r="11" spans="1:18">
      <c r="A11" s="32" t="s">
        <v>54</v>
      </c>
      <c r="B11" s="37">
        <f t="shared" si="0"/>
        <v>876.82541700000002</v>
      </c>
      <c r="C11" s="33"/>
      <c r="D11" s="37">
        <f>IF(ISERROR(TER_onderwijs_gas_kWh/1000),0,TER_onderwijs_gas_kWh/1000)*0.902</f>
        <v>2749.2747750380004</v>
      </c>
      <c r="E11" s="33">
        <f>$C$31*'E Balans VL '!I11/100/3.6*1000000</f>
        <v>22.365036900580307</v>
      </c>
      <c r="F11" s="33">
        <f>$C$31*('E Balans VL '!L11+'E Balans VL '!N11)/100/3.6*1000000</f>
        <v>105.44650938935986</v>
      </c>
      <c r="G11" s="34"/>
      <c r="H11" s="33"/>
      <c r="I11" s="33"/>
      <c r="J11" s="33">
        <f>$C$31*('E Balans VL '!D11+'E Balans VL '!E11)/100/3.6*1000000</f>
        <v>0</v>
      </c>
      <c r="K11" s="33"/>
      <c r="L11" s="33"/>
      <c r="M11" s="33"/>
      <c r="N11" s="33">
        <f>$C$31*'E Balans VL '!Y11/100/3.6*1000000</f>
        <v>1.9500383326834736</v>
      </c>
      <c r="O11" s="33"/>
      <c r="P11" s="33"/>
      <c r="R11" s="32"/>
    </row>
    <row r="12" spans="1:18">
      <c r="A12" s="32" t="s">
        <v>254</v>
      </c>
      <c r="B12" s="37">
        <f t="shared" si="0"/>
        <v>16930.596859999998</v>
      </c>
      <c r="C12" s="33"/>
      <c r="D12" s="37">
        <f>IF(ISERROR(TER_rest_gas_kWh/1000),0,TER_rest_gas_kWh/1000)*0.902</f>
        <v>57081.9102986</v>
      </c>
      <c r="E12" s="33">
        <f>$C$32*'E Balans VL '!I8/100/3.6*1000000</f>
        <v>218.54670963078996</v>
      </c>
      <c r="F12" s="33">
        <f>$C$32*('E Balans VL '!L8+'E Balans VL '!N8)/100/3.6*1000000</f>
        <v>1945.0936147119396</v>
      </c>
      <c r="G12" s="34"/>
      <c r="H12" s="33"/>
      <c r="I12" s="33"/>
      <c r="J12" s="33">
        <f>$C$32*('E Balans VL '!D8+'E Balans VL '!E8)/100/3.6*1000000</f>
        <v>3.244659311097222E-2</v>
      </c>
      <c r="K12" s="33"/>
      <c r="L12" s="33"/>
      <c r="M12" s="33"/>
      <c r="N12" s="33">
        <f>$C$32*'E Balans VL '!Y8/100/3.6*1000000</f>
        <v>1281.9311740515702</v>
      </c>
      <c r="O12" s="33"/>
      <c r="P12" s="33"/>
      <c r="R12" s="32"/>
    </row>
    <row r="13" spans="1:18">
      <c r="A13" s="16" t="s">
        <v>471</v>
      </c>
      <c r="B13" s="245">
        <f ca="1">'lokale energieproductie'!N53+'lokale energieproductie'!N46</f>
        <v>24194.43</v>
      </c>
      <c r="C13" s="245">
        <f ca="1">'lokale energieproductie'!O53+'lokale energieproductie'!O46</f>
        <v>34563.471428571429</v>
      </c>
      <c r="D13" s="304">
        <f ca="1">('lokale energieproductie'!P46+'lokale energieproductie'!P53)*(-1)</f>
        <v>-30889.800000000007</v>
      </c>
      <c r="E13" s="246"/>
      <c r="F13" s="304">
        <f ca="1">('lokale energieproductie'!S46+'lokale energieproductie'!S53)*(-1)</f>
        <v>0</v>
      </c>
      <c r="G13" s="247"/>
      <c r="H13" s="246"/>
      <c r="I13" s="246"/>
      <c r="J13" s="246"/>
      <c r="K13" s="246"/>
      <c r="L13" s="304">
        <f ca="1">('lokale energieproductie'!U46+'lokale energieproductie'!T46+'lokale energieproductie'!U53+'lokale energieproductie'!T53)*(-1)</f>
        <v>0</v>
      </c>
      <c r="M13" s="246"/>
      <c r="N13" s="304">
        <f ca="1">('lokale energieproductie'!Q46+'lokale energieproductie'!R46+'lokale energieproductie'!V46+'lokale energieproductie'!Q53+'lokale energieproductie'!R53+'lokale energieproductie'!V53)*(-1)</f>
        <v>-38237.142857142862</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187337.887766</v>
      </c>
      <c r="C16" s="21">
        <f t="shared" ca="1" si="1"/>
        <v>34563.471428571429</v>
      </c>
      <c r="D16" s="21">
        <f t="shared" ca="1" si="1"/>
        <v>78408.912150452001</v>
      </c>
      <c r="E16" s="21">
        <f t="shared" si="1"/>
        <v>1750.4169340951685</v>
      </c>
      <c r="F16" s="21">
        <f t="shared" ca="1" si="1"/>
        <v>19386.87524975379</v>
      </c>
      <c r="G16" s="21">
        <f t="shared" si="1"/>
        <v>0</v>
      </c>
      <c r="H16" s="21">
        <f t="shared" si="1"/>
        <v>0</v>
      </c>
      <c r="I16" s="21">
        <f t="shared" si="1"/>
        <v>0</v>
      </c>
      <c r="J16" s="21">
        <f t="shared" si="1"/>
        <v>0.16828158710970481</v>
      </c>
      <c r="K16" s="21">
        <f t="shared" si="1"/>
        <v>0</v>
      </c>
      <c r="L16" s="21">
        <f t="shared" ca="1" si="1"/>
        <v>0</v>
      </c>
      <c r="M16" s="21">
        <f t="shared" si="1"/>
        <v>0</v>
      </c>
      <c r="N16" s="21">
        <f t="shared" ca="1" si="1"/>
        <v>0</v>
      </c>
      <c r="O16" s="21">
        <f>O5</f>
        <v>44.075346892570387</v>
      </c>
      <c r="P16" s="21">
        <f>P5</f>
        <v>893.16535121041511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7.883022632941375E-2</v>
      </c>
      <c r="C18" s="25">
        <f ca="1">'EF ele_warmte'!B22</f>
        <v>0.1589433877216275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14767.88809266809</v>
      </c>
      <c r="C20" s="23">
        <f t="shared" ref="C20:P20" ca="1" si="2">C16*C18</f>
        <v>5493.6352402768225</v>
      </c>
      <c r="D20" s="23">
        <f t="shared" ca="1" si="2"/>
        <v>15838.600254391305</v>
      </c>
      <c r="E20" s="23">
        <f t="shared" si="2"/>
        <v>397.34464403960328</v>
      </c>
      <c r="F20" s="23">
        <f t="shared" ca="1" si="2"/>
        <v>5176.2956916842622</v>
      </c>
      <c r="G20" s="23">
        <f t="shared" si="2"/>
        <v>0</v>
      </c>
      <c r="H20" s="23">
        <f t="shared" si="2"/>
        <v>0</v>
      </c>
      <c r="I20" s="23">
        <f t="shared" si="2"/>
        <v>0</v>
      </c>
      <c r="J20" s="23">
        <f t="shared" si="2"/>
        <v>5.9571681836835498E-2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109235.4924</v>
      </c>
      <c r="C26" s="39">
        <f>IF(ISERROR(B26*3.6/1000000/'E Balans VL '!Z12*100),0,B26*3.6/1000000/'E Balans VL '!Z12*100)</f>
        <v>2.3173310322668157</v>
      </c>
      <c r="D26" s="235" t="s">
        <v>698</v>
      </c>
      <c r="F26" s="6"/>
    </row>
    <row r="27" spans="1:18">
      <c r="A27" s="229" t="s">
        <v>52</v>
      </c>
      <c r="B27" s="33">
        <f>IF(ISERROR(TER_horeca_ele_kWh/1000),0,TER_horeca_ele_kWh/1000)</f>
        <v>3876.7576079999999</v>
      </c>
      <c r="C27" s="39">
        <f>IF(ISERROR(B27*3.6/1000000/'E Balans VL '!Z9*100),0,B27*3.6/1000000/'E Balans VL '!Z9*100)</f>
        <v>0.29195419016509266</v>
      </c>
      <c r="D27" s="235" t="s">
        <v>698</v>
      </c>
      <c r="F27" s="6"/>
    </row>
    <row r="28" spans="1:18">
      <c r="A28" s="169" t="s">
        <v>51</v>
      </c>
      <c r="B28" s="33">
        <f>IF(ISERROR(TER_handel_ele_kWh/1000),0,TER_handel_ele_kWh/1000)</f>
        <v>21278.242249999999</v>
      </c>
      <c r="C28" s="39">
        <f>IF(ISERROR(B28*3.6/1000000/'E Balans VL '!Z13*100),0,B28*3.6/1000000/'E Balans VL '!Z13*100)</f>
        <v>0.61763197782277812</v>
      </c>
      <c r="D28" s="235" t="s">
        <v>698</v>
      </c>
      <c r="F28" s="6"/>
    </row>
    <row r="29" spans="1:18">
      <c r="A29" s="229" t="s">
        <v>50</v>
      </c>
      <c r="B29" s="33">
        <f>IF(ISERROR(TER_gezond_ele_kWh/1000),0,TER_gezond_ele_kWh/1000)</f>
        <v>2943.9788509999998</v>
      </c>
      <c r="C29" s="39">
        <f>IF(ISERROR(B29*3.6/1000000/'E Balans VL '!Z10*100),0,B29*3.6/1000000/'E Balans VL '!Z10*100)</f>
        <v>0.29690377796112316</v>
      </c>
      <c r="D29" s="235" t="s">
        <v>698</v>
      </c>
      <c r="F29" s="6"/>
    </row>
    <row r="30" spans="1:18">
      <c r="A30" s="229" t="s">
        <v>49</v>
      </c>
      <c r="B30" s="33">
        <f>IF(ISERROR(TER_ander_ele_kWh/1000),0,TER_ander_ele_kWh/1000)</f>
        <v>8001.5643799999998</v>
      </c>
      <c r="C30" s="39">
        <f>IF(ISERROR(B30*3.6/1000000/'E Balans VL '!Z14*100),0,B30*3.6/1000000/'E Balans VL '!Z14*100)</f>
        <v>0.58062265712243222</v>
      </c>
      <c r="D30" s="235" t="s">
        <v>698</v>
      </c>
      <c r="F30" s="6"/>
    </row>
    <row r="31" spans="1:18">
      <c r="A31" s="229" t="s">
        <v>54</v>
      </c>
      <c r="B31" s="33">
        <f>IF(ISERROR(TER_onderwijs_ele_kWh/1000),0,TER_onderwijs_ele_kWh/1000)</f>
        <v>876.82541700000002</v>
      </c>
      <c r="C31" s="39">
        <f>IF(ISERROR(B31*3.6/1000000/'E Balans VL '!Z11*100),0,B31*3.6/1000000/'E Balans VL '!Z11*100)</f>
        <v>0.24993094983858077</v>
      </c>
      <c r="D31" s="235" t="s">
        <v>698</v>
      </c>
    </row>
    <row r="32" spans="1:18">
      <c r="A32" s="229" t="s">
        <v>254</v>
      </c>
      <c r="B32" s="33">
        <f>IF(ISERROR(TER_rest_ele_kWh/1000),0,TER_rest_ele_kWh/1000)</f>
        <v>16930.596859999998</v>
      </c>
      <c r="C32" s="39">
        <f>IF(ISERROR(B32*3.6/1000000/'E Balans VL '!Z8*100),0,B32*3.6/1000000/'E Balans VL '!Z8*100)</f>
        <v>0.13869200087599573</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9</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17</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81842.460735000001</v>
      </c>
      <c r="C5" s="17">
        <f>IF(ISERROR('Eigen informatie GS &amp; warmtenet'!B61),0,'Eigen informatie GS &amp; warmtenet'!B61)</f>
        <v>0</v>
      </c>
      <c r="D5" s="30">
        <f>SUM(D6:D15)</f>
        <v>49855.184535420005</v>
      </c>
      <c r="E5" s="17">
        <f>SUM(E6:E15)</f>
        <v>4341.5433820371663</v>
      </c>
      <c r="F5" s="17">
        <f>SUM(F6:F15)</f>
        <v>15263.417372446933</v>
      </c>
      <c r="G5" s="18"/>
      <c r="H5" s="17"/>
      <c r="I5" s="17"/>
      <c r="J5" s="17">
        <f>SUM(J6:J15)</f>
        <v>436.27697307244466</v>
      </c>
      <c r="K5" s="17"/>
      <c r="L5" s="17"/>
      <c r="M5" s="17"/>
      <c r="N5" s="17">
        <f>SUM(N6:N15)</f>
        <v>2611.1830831346833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4174.8933630000001</v>
      </c>
      <c r="C8" s="33"/>
      <c r="D8" s="37">
        <f>IF( ISERROR(IND_metaal_Gas_kWH/1000),0,IND_metaal_Gas_kWH/1000)*0.902</f>
        <v>42.731157677999995</v>
      </c>
      <c r="E8" s="33">
        <f>C30*'E Balans VL '!I18/100/3.6*1000000</f>
        <v>30.11892540002632</v>
      </c>
      <c r="F8" s="33">
        <f>C30*'E Balans VL '!L18/100/3.6*1000000+C30*'E Balans VL '!N18/100/3.6*1000000</f>
        <v>394.86793249862649</v>
      </c>
      <c r="G8" s="34"/>
      <c r="H8" s="33"/>
      <c r="I8" s="33"/>
      <c r="J8" s="40">
        <f>C30*'E Balans VL '!D18/100/3.6*1000000+C30*'E Balans VL '!E18/100/3.6*1000000</f>
        <v>4.1991320056378489</v>
      </c>
      <c r="K8" s="33"/>
      <c r="L8" s="33"/>
      <c r="M8" s="33"/>
      <c r="N8" s="33">
        <f>C30*'E Balans VL '!Y18/100/3.6*1000000</f>
        <v>52.781697785657968</v>
      </c>
      <c r="O8" s="33"/>
      <c r="P8" s="33"/>
      <c r="R8" s="32"/>
    </row>
    <row r="9" spans="1:18">
      <c r="A9" s="6" t="s">
        <v>32</v>
      </c>
      <c r="B9" s="37">
        <f t="shared" si="0"/>
        <v>7096.7940209999997</v>
      </c>
      <c r="C9" s="33"/>
      <c r="D9" s="37">
        <f>IF( ISERROR(IND_andere_gas_kWh/1000),0,IND_andere_gas_kWh/1000)*0.902</f>
        <v>23287.960340700003</v>
      </c>
      <c r="E9" s="33">
        <f>C31*'E Balans VL '!I19/100/3.6*1000000</f>
        <v>1966.6165192439464</v>
      </c>
      <c r="F9" s="33">
        <f>C31*'E Balans VL '!L19/100/3.6*1000000+C31*'E Balans VL '!N19/100/3.6*1000000</f>
        <v>5881.8382208948751</v>
      </c>
      <c r="G9" s="34"/>
      <c r="H9" s="33"/>
      <c r="I9" s="33"/>
      <c r="J9" s="40">
        <f>C31*'E Balans VL '!D19/100/3.6*1000000+C31*'E Balans VL '!E19/100/3.6*1000000</f>
        <v>0</v>
      </c>
      <c r="K9" s="33"/>
      <c r="L9" s="33"/>
      <c r="M9" s="33"/>
      <c r="N9" s="33">
        <f>C31*'E Balans VL '!Y19/100/3.6*1000000</f>
        <v>515.14044273656077</v>
      </c>
      <c r="O9" s="33"/>
      <c r="P9" s="33"/>
      <c r="R9" s="32"/>
    </row>
    <row r="10" spans="1:18">
      <c r="A10" s="6" t="s">
        <v>40</v>
      </c>
      <c r="B10" s="37">
        <f t="shared" si="0"/>
        <v>2097.5124519999999</v>
      </c>
      <c r="C10" s="33"/>
      <c r="D10" s="37">
        <f>IF( ISERROR(IND_voed_gas_kWh/1000),0,IND_voed_gas_kWh/1000)*0.902</f>
        <v>1563.0138560519999</v>
      </c>
      <c r="E10" s="33">
        <f>C32*'E Balans VL '!I20/100/3.6*1000000</f>
        <v>3.713307513057952</v>
      </c>
      <c r="F10" s="33">
        <f>C32*'E Balans VL '!L20/100/3.6*1000000+C32*'E Balans VL '!N20/100/3.6*1000000</f>
        <v>113.28426249410624</v>
      </c>
      <c r="G10" s="34"/>
      <c r="H10" s="33"/>
      <c r="I10" s="33"/>
      <c r="J10" s="40">
        <f>C32*'E Balans VL '!D20/100/3.6*1000000+C32*'E Balans VL '!E20/100/3.6*1000000</f>
        <v>0</v>
      </c>
      <c r="K10" s="33"/>
      <c r="L10" s="33"/>
      <c r="M10" s="33"/>
      <c r="N10" s="33">
        <f>C32*'E Balans VL '!Y20/100/3.6*1000000</f>
        <v>121.8814923634057</v>
      </c>
      <c r="O10" s="33"/>
      <c r="P10" s="33"/>
      <c r="R10" s="32"/>
    </row>
    <row r="11" spans="1:18">
      <c r="A11" s="6" t="s">
        <v>39</v>
      </c>
      <c r="B11" s="37">
        <f t="shared" si="0"/>
        <v>27.655860000000001</v>
      </c>
      <c r="C11" s="33"/>
      <c r="D11" s="37">
        <f>IF( ISERROR(IND_textiel_gas_kWh/1000),0,IND_textiel_gas_kWh/1000)*0.902</f>
        <v>27.08340239</v>
      </c>
      <c r="E11" s="33">
        <f>C33*'E Balans VL '!I21/100/3.6*1000000</f>
        <v>9.7489777039161701E-2</v>
      </c>
      <c r="F11" s="33">
        <f>C33*'E Balans VL '!L21/100/3.6*1000000+C33*'E Balans VL '!N21/100/3.6*1000000</f>
        <v>0.81174084650388922</v>
      </c>
      <c r="G11" s="34"/>
      <c r="H11" s="33"/>
      <c r="I11" s="33"/>
      <c r="J11" s="40">
        <f>C33*'E Balans VL '!D21/100/3.6*1000000+C33*'E Balans VL '!E21/100/3.6*1000000</f>
        <v>0</v>
      </c>
      <c r="K11" s="33"/>
      <c r="L11" s="33"/>
      <c r="M11" s="33"/>
      <c r="N11" s="33">
        <f>C33*'E Balans VL '!Y21/100/3.6*1000000</f>
        <v>1.2185132327666166</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280.429529</v>
      </c>
      <c r="C13" s="33"/>
      <c r="D13" s="37">
        <f>IF( ISERROR(IND_papier_gas_kWh/1000),0,IND_papier_gas_kWh/1000)*0.902</f>
        <v>76.940031739999995</v>
      </c>
      <c r="E13" s="33">
        <f>C35*'E Balans VL '!I23/100/3.6*1000000</f>
        <v>0.41260813110004729</v>
      </c>
      <c r="F13" s="33">
        <f>C35*'E Balans VL '!L23/100/3.6*1000000+C35*'E Balans VL '!N23/100/3.6*1000000</f>
        <v>3.0026449263802517</v>
      </c>
      <c r="G13" s="34"/>
      <c r="H13" s="33"/>
      <c r="I13" s="33"/>
      <c r="J13" s="40">
        <f>C35*'E Balans VL '!D23/100/3.6*1000000+C35*'E Balans VL '!E23/100/3.6*1000000</f>
        <v>30.68056303910755</v>
      </c>
      <c r="K13" s="33"/>
      <c r="L13" s="33"/>
      <c r="M13" s="33"/>
      <c r="N13" s="33">
        <f>C35*'E Balans VL '!Y23/100/3.6*1000000</f>
        <v>0</v>
      </c>
      <c r="O13" s="33"/>
      <c r="P13" s="33"/>
      <c r="R13" s="32"/>
    </row>
    <row r="14" spans="1:18">
      <c r="A14" s="6" t="s">
        <v>33</v>
      </c>
      <c r="B14" s="37">
        <f t="shared" si="0"/>
        <v>19577.001649999998</v>
      </c>
      <c r="C14" s="33"/>
      <c r="D14" s="37">
        <f>IF( ISERROR(IND_chemie_gas_kWh/1000),0,IND_chemie_gas_kWh/1000)*0.902</f>
        <v>0</v>
      </c>
      <c r="E14" s="33">
        <f>C36*'E Balans VL '!I24/100/3.6*1000000</f>
        <v>44.279234551209854</v>
      </c>
      <c r="F14" s="33">
        <f>C36*'E Balans VL '!L24/100/3.6*1000000+C36*'E Balans VL '!N24/100/3.6*1000000</f>
        <v>231.14509479640364</v>
      </c>
      <c r="G14" s="34"/>
      <c r="H14" s="33"/>
      <c r="I14" s="33"/>
      <c r="J14" s="40">
        <f>C36*'E Balans VL '!D24/100/3.6*1000000+C36*'E Balans VL '!E24/100/3.6*1000000</f>
        <v>0</v>
      </c>
      <c r="K14" s="33"/>
      <c r="L14" s="33"/>
      <c r="M14" s="33"/>
      <c r="N14" s="33">
        <f>C36*'E Balans VL '!Y24/100/3.6*1000000</f>
        <v>10.753353984321015</v>
      </c>
      <c r="O14" s="33"/>
      <c r="P14" s="33"/>
      <c r="R14" s="32"/>
    </row>
    <row r="15" spans="1:18">
      <c r="A15" s="6" t="s">
        <v>264</v>
      </c>
      <c r="B15" s="37">
        <f t="shared" si="0"/>
        <v>48588.173860000003</v>
      </c>
      <c r="C15" s="33"/>
      <c r="D15" s="37">
        <f>IF( ISERROR(IND_rest_gas_kWh/1000),0,IND_rest_gas_kWh/1000)*0.902</f>
        <v>24857.45574686</v>
      </c>
      <c r="E15" s="33">
        <f>C37*'E Balans VL '!I15/100/3.6*1000000</f>
        <v>2296.3052974207867</v>
      </c>
      <c r="F15" s="33">
        <f>C37*'E Balans VL '!L15/100/3.6*1000000+C37*'E Balans VL '!N15/100/3.6*1000000</f>
        <v>8638.4674759900372</v>
      </c>
      <c r="G15" s="34"/>
      <c r="H15" s="33"/>
      <c r="I15" s="33"/>
      <c r="J15" s="40">
        <f>C37*'E Balans VL '!D15/100/3.6*1000000+C37*'E Balans VL '!E15/100/3.6*1000000</f>
        <v>401.39727802769926</v>
      </c>
      <c r="K15" s="33"/>
      <c r="L15" s="33"/>
      <c r="M15" s="33"/>
      <c r="N15" s="33">
        <f>C37*'E Balans VL '!Y15/100/3.6*1000000</f>
        <v>1909.4075830319714</v>
      </c>
      <c r="O15" s="33"/>
      <c r="P15" s="33"/>
      <c r="R15" s="32"/>
    </row>
    <row r="16" spans="1:18">
      <c r="A16" s="16" t="s">
        <v>471</v>
      </c>
      <c r="B16" s="245">
        <f>'lokale energieproductie'!N52+'lokale energieproductie'!N45</f>
        <v>27810</v>
      </c>
      <c r="C16" s="245">
        <f>'lokale energieproductie'!O52+'lokale energieproductie'!O45</f>
        <v>39728.571428571435</v>
      </c>
      <c r="D16" s="304">
        <f>('lokale energieproductie'!P45+'lokale energieproductie'!P52)*(-1)</f>
        <v>-64170</v>
      </c>
      <c r="E16" s="246"/>
      <c r="F16" s="304">
        <f>('lokale energieproductie'!S45+'lokale energieproductie'!S52)*(-1)</f>
        <v>0</v>
      </c>
      <c r="G16" s="247"/>
      <c r="H16" s="246"/>
      <c r="I16" s="246"/>
      <c r="J16" s="246"/>
      <c r="K16" s="246"/>
      <c r="L16" s="304">
        <f>('lokale energieproductie'!T45+'lokale energieproductie'!U45+'lokale energieproductie'!T52+'lokale energieproductie'!U52)*(-1)</f>
        <v>0</v>
      </c>
      <c r="M16" s="246"/>
      <c r="N16" s="304">
        <f>('lokale energieproductie'!Q45+'lokale energieproductie'!R45+'lokale energieproductie'!V45+'lokale energieproductie'!Q52+'lokale energieproductie'!R52+'lokale energieproductie'!V52)*(-1)</f>
        <v>-15287.142857142859</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109652.460735</v>
      </c>
      <c r="C18" s="21">
        <f>C5+C16</f>
        <v>39728.571428571435</v>
      </c>
      <c r="D18" s="21">
        <f>MAX((D5+D16),0)</f>
        <v>0</v>
      </c>
      <c r="E18" s="21">
        <f>MAX((E5+E16),0)</f>
        <v>4341.5433820371663</v>
      </c>
      <c r="F18" s="21">
        <f>MAX((F5+F16),0)</f>
        <v>15263.417372446933</v>
      </c>
      <c r="G18" s="21"/>
      <c r="H18" s="21"/>
      <c r="I18" s="21"/>
      <c r="J18" s="21">
        <f>MAX((J5+J16),0)</f>
        <v>436.27697307244466</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7.883022632941375E-2</v>
      </c>
      <c r="C20" s="25">
        <f ca="1">'EF ele_warmte'!B22</f>
        <v>0.1589433877216275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8643.9282973172049</v>
      </c>
      <c r="C22" s="23">
        <f ca="1">C18*C20</f>
        <v>6314.5937321978017</v>
      </c>
      <c r="D22" s="23">
        <f>D18*D20</f>
        <v>0</v>
      </c>
      <c r="E22" s="23">
        <f>E18*E20</f>
        <v>985.53034772243677</v>
      </c>
      <c r="F22" s="23">
        <f>F18*F20</f>
        <v>4075.3324384433313</v>
      </c>
      <c r="G22" s="23"/>
      <c r="H22" s="23"/>
      <c r="I22" s="23"/>
      <c r="J22" s="23">
        <f>J18*J20</f>
        <v>154.44204846764541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4174.8933630000001</v>
      </c>
      <c r="C30" s="39">
        <f>IF(ISERROR(B30*3.6/1000000/'E Balans VL '!Z18*100),0,B30*3.6/1000000/'E Balans VL '!Z18*100)</f>
        <v>0.2410100795608677</v>
      </c>
      <c r="D30" s="235" t="s">
        <v>698</v>
      </c>
    </row>
    <row r="31" spans="1:18">
      <c r="A31" s="6" t="s">
        <v>32</v>
      </c>
      <c r="B31" s="37">
        <f>IF( ISERROR(IND_ander_ele_kWh/1000),0,IND_ander_ele_kWh/1000)</f>
        <v>7096.7940209999997</v>
      </c>
      <c r="C31" s="39">
        <f>IF(ISERROR(B31*3.6/1000000/'E Balans VL '!Z19*100),0,B31*3.6/1000000/'E Balans VL '!Z19*100)</f>
        <v>0.3569457358891937</v>
      </c>
      <c r="D31" s="235" t="s">
        <v>698</v>
      </c>
    </row>
    <row r="32" spans="1:18">
      <c r="A32" s="169" t="s">
        <v>40</v>
      </c>
      <c r="B32" s="37">
        <f>IF( ISERROR(IND_voed_ele_kWh/1000),0,IND_voed_ele_kWh/1000)</f>
        <v>2097.5124519999999</v>
      </c>
      <c r="C32" s="39">
        <f>IF(ISERROR(B32*3.6/1000000/'E Balans VL '!Z20*100),0,B32*3.6/1000000/'E Balans VL '!Z20*100)</f>
        <v>6.9859620200902126E-2</v>
      </c>
      <c r="D32" s="235" t="s">
        <v>698</v>
      </c>
    </row>
    <row r="33" spans="1:5">
      <c r="A33" s="169" t="s">
        <v>39</v>
      </c>
      <c r="B33" s="37">
        <f>IF( ISERROR(IND_textiel_ele_kWh/1000),0,IND_textiel_ele_kWh/1000)</f>
        <v>27.655860000000001</v>
      </c>
      <c r="C33" s="39">
        <f>IF(ISERROR(B33*3.6/1000000/'E Balans VL '!Z21*100),0,B33*3.6/1000000/'E Balans VL '!Z21*100)</f>
        <v>4.3119005620644137E-3</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280.429529</v>
      </c>
      <c r="C35" s="39">
        <f>IF(ISERROR(B35*3.6/1000000/'E Balans VL '!Z22*100),0,B35*3.6/1000000/'E Balans VL '!Z22*100)</f>
        <v>5.2309579046741828E-2</v>
      </c>
      <c r="D35" s="235" t="s">
        <v>698</v>
      </c>
    </row>
    <row r="36" spans="1:5">
      <c r="A36" s="169" t="s">
        <v>33</v>
      </c>
      <c r="B36" s="37">
        <f>IF( ISERROR(IND_chemie_ele_kWh/1000),0,IND_chemie_ele_kWh/1000)</f>
        <v>19577.001649999998</v>
      </c>
      <c r="C36" s="39">
        <f>IF(ISERROR(B36*3.6/1000000/'E Balans VL '!Z24*100),0,B36*3.6/1000000/'E Balans VL '!Z24*100)</f>
        <v>0.51636753826271353</v>
      </c>
      <c r="D36" s="235" t="s">
        <v>698</v>
      </c>
    </row>
    <row r="37" spans="1:5">
      <c r="A37" s="169" t="s">
        <v>264</v>
      </c>
      <c r="B37" s="37">
        <f>IF( ISERROR(IND_rest_ele_kWh/1000),0,IND_rest_ele_kWh/1000)</f>
        <v>48588.173860000003</v>
      </c>
      <c r="C37" s="39">
        <f>IF(ISERROR(B37*3.6/1000000/'E Balans VL '!Z15*100),0,B37*3.6/1000000/'E Balans VL '!Z15*100)</f>
        <v>0.37912062684385384</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10506.020553000002</v>
      </c>
      <c r="C5" s="17">
        <f>'Eigen informatie GS &amp; warmtenet'!B62</f>
        <v>0</v>
      </c>
      <c r="D5" s="30">
        <f>IF(ISERROR(SUM(LB_lb_gas_kWh,LB_rest_gas_kWh)/1000),0,SUM(LB_lb_gas_kWh,LB_rest_gas_kWh)/1000)*0.902</f>
        <v>131684.830363702</v>
      </c>
      <c r="E5" s="17">
        <f>B17*'E Balans VL '!I25/3.6*1000000/100</f>
        <v>327.88943700095462</v>
      </c>
      <c r="F5" s="17">
        <f>B17*('E Balans VL '!L25/3.6*1000000+'E Balans VL '!N25/3.6*1000000)/100</f>
        <v>37129.440459863516</v>
      </c>
      <c r="G5" s="18"/>
      <c r="H5" s="17"/>
      <c r="I5" s="17"/>
      <c r="J5" s="17">
        <f>('E Balans VL '!D25+'E Balans VL '!E25)/3.6*1000000*landbouw!B17/100</f>
        <v>2894.4815209655076</v>
      </c>
      <c r="K5" s="17"/>
      <c r="L5" s="17">
        <f>L6*(-1)</f>
        <v>0</v>
      </c>
      <c r="M5" s="17"/>
      <c r="N5" s="17">
        <f>N6*(-1)</f>
        <v>67123.285714285725</v>
      </c>
      <c r="O5" s="17"/>
      <c r="P5" s="17"/>
      <c r="R5" s="32"/>
    </row>
    <row r="6" spans="1:18">
      <c r="A6" s="16" t="s">
        <v>471</v>
      </c>
      <c r="B6" s="17" t="s">
        <v>210</v>
      </c>
      <c r="C6" s="17">
        <f>'lokale energieproductie'!O54+'lokale energieproductie'!O47</f>
        <v>107856.64285714288</v>
      </c>
      <c r="D6" s="304">
        <f>('lokale energieproductie'!P47+'lokale energieproductie'!P54)*(-1)</f>
        <v>-148590.00000000003</v>
      </c>
      <c r="E6" s="246"/>
      <c r="F6" s="304">
        <f>('lokale energieproductie'!S47+'lokale energieproductie'!S54)*(-1)</f>
        <v>0</v>
      </c>
      <c r="G6" s="247"/>
      <c r="H6" s="246"/>
      <c r="I6" s="246"/>
      <c r="J6" s="246"/>
      <c r="K6" s="246"/>
      <c r="L6" s="304">
        <f>('lokale energieproductie'!T47+'lokale energieproductie'!U47+'lokale energieproductie'!T54+'lokale energieproductie'!U54)*(-1)</f>
        <v>0</v>
      </c>
      <c r="M6" s="246"/>
      <c r="N6" s="304">
        <f>('lokale energieproductie'!V47+'lokale energieproductie'!R47+'lokale energieproductie'!Q47+'lokale energieproductie'!Q54+'lokale energieproductie'!R54+'lokale energieproductie'!V54)*(-1)</f>
        <v>-67123.285714285725</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10506.020553000002</v>
      </c>
      <c r="C8" s="21">
        <f>C5+C6</f>
        <v>107856.64285714288</v>
      </c>
      <c r="D8" s="21">
        <f>MAX((D5+D6),0)</f>
        <v>0</v>
      </c>
      <c r="E8" s="21">
        <f>MAX((E5+E6),0)</f>
        <v>327.88943700095462</v>
      </c>
      <c r="F8" s="21">
        <f>MAX((F5+F6),0)</f>
        <v>37129.440459863516</v>
      </c>
      <c r="G8" s="21"/>
      <c r="H8" s="21"/>
      <c r="I8" s="21"/>
      <c r="J8" s="21">
        <f>MAX((J5+J6),0)</f>
        <v>2894.4815209655076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7.883022632941375E-2</v>
      </c>
      <c r="C10" s="31">
        <f ca="1">'EF ele_warmte'!B22</f>
        <v>0.1589433877216275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828.19197801446273</v>
      </c>
      <c r="C12" s="23">
        <f ca="1">C8*C10</f>
        <v>17143.100203995968</v>
      </c>
      <c r="D12" s="23">
        <f>D8*D10</f>
        <v>0</v>
      </c>
      <c r="E12" s="23">
        <f>E8*E10</f>
        <v>74.430902199216703</v>
      </c>
      <c r="F12" s="23">
        <f>F8*F10</f>
        <v>9913.5606027835584</v>
      </c>
      <c r="G12" s="23"/>
      <c r="H12" s="23"/>
      <c r="I12" s="23"/>
      <c r="J12" s="23">
        <f>J8*J10</f>
        <v>1024.6464584217897</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1.5617952694927077</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829.92292088620127</v>
      </c>
      <c r="C26" s="245">
        <f>B26*'GWP N2O_CH4'!B5</f>
        <v>17428.381338610227</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408.85383498791157</v>
      </c>
      <c r="C27" s="245">
        <f>B27*'GWP N2O_CH4'!B5</f>
        <v>8585.9305347461432</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13.55604977390542</v>
      </c>
      <c r="C28" s="245">
        <f>B28*'GWP N2O_CH4'!B4</f>
        <v>4202.3754299106804</v>
      </c>
      <c r="D28" s="50"/>
    </row>
    <row r="29" spans="1:4">
      <c r="A29" s="41" t="s">
        <v>271</v>
      </c>
      <c r="B29" s="245">
        <f>B34*'ha_N2O bodem landbouw'!B4</f>
        <v>46.112021071216816</v>
      </c>
      <c r="C29" s="245">
        <f>B29*'GWP N2O_CH4'!B4</f>
        <v>14294.726532077213</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1.0111535992645991E-2</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3.0339523137096441E-3</v>
      </c>
      <c r="C5" s="433" t="s">
        <v>210</v>
      </c>
      <c r="D5" s="418">
        <f>SUM(D6:D11)</f>
        <v>4.9986209029440785E-3</v>
      </c>
      <c r="E5" s="418">
        <f>SUM(E6:E11)</f>
        <v>4.6515914848597167E-3</v>
      </c>
      <c r="F5" s="431" t="s">
        <v>210</v>
      </c>
      <c r="G5" s="418">
        <f>SUM(G6:G11)</f>
        <v>3.1339106695008754</v>
      </c>
      <c r="H5" s="418">
        <f>SUM(H6:H11)</f>
        <v>0.45083598682935361</v>
      </c>
      <c r="I5" s="433" t="s">
        <v>210</v>
      </c>
      <c r="J5" s="433" t="s">
        <v>210</v>
      </c>
      <c r="K5" s="433" t="s">
        <v>210</v>
      </c>
      <c r="L5" s="433" t="s">
        <v>210</v>
      </c>
      <c r="M5" s="418">
        <f>SUM(M6:M11)</f>
        <v>0.21049382456907506</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9.2161299446683552E-4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1.5557723482118033E-3</v>
      </c>
      <c r="E6" s="884">
        <f>vkm_GW_PW*SUMIFS(TableVerdeelsleutelVkm[LPG],TableVerdeelsleutelVkm[Voertuigtype],"Lichte voertuigen")*SUMIFS(TableECFTransport[EnergieConsumptieFactor (PJ per km)],TableECFTransport[Index],CONCATENATE($A6,"_LPG_LPG"))</f>
        <v>1.3632804167061198E-3</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0.42586232493450288</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0.13877515706841634</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3.3735871932479511E-2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1.3414151730261253E-5</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0.51198065977524554</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7.1166952982491332E-6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2.9511783697214328E-2</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7.8164717346306911E-4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1.6848308925486017E-3</v>
      </c>
      <c r="E8" s="421">
        <f>vkm_NGW_PW*SUMIFS(TableVerdeelsleutelVkm[LPG],TableVerdeelsleutelVkm[Voertuigtype],"Lichte voertuigen")*SUMIFS(TableECFTransport[EnergieConsumptieFactor (PJ per km)],TableECFTransport[Index],CONCATENATE($A8,"_LPG_LPG"))</f>
        <v>1.4142670900368786E-3</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0.40817458111543381</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0.14810856184323176</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3.3334305623051216E-2</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8.7813063575703185E-6</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0.43087139683254538</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5.623293254538349E-6</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2.4836428517798281E-2</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1.285746885969148E-3</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1.7580176621836737E-3</v>
      </c>
      <c r="E10" s="421">
        <f>vkm_SW_PW*SUMIFS(TableVerdeelsleutelVkm[LPG],TableVerdeelsleutelVkm[Voertuigtype],"Lichte voertuigen")*SUMIFS(TableECFTransport[EnergieConsumptieFactor (PJ per km)],TableECFTransport[Index],CONCATENATE($A10,"_LPG_LPG"))</f>
        <v>1.8740439781167184E-3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0.53348348165826676</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0.16392710502276298</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4.1604666965232087E-2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2.2749801722759783E-5</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0.82353822518488085</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1.2422906389747817E-5</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4.7470767833299635E-2</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842.76453158601225</v>
      </c>
      <c r="C14" s="21"/>
      <c r="D14" s="21">
        <f t="shared" ref="D14:M14" si="0">((D5)*10^9/3600)+D12</f>
        <v>1388.5058063733552</v>
      </c>
      <c r="E14" s="21">
        <f t="shared" si="0"/>
        <v>1292.1087457943659</v>
      </c>
      <c r="F14" s="21"/>
      <c r="G14" s="21">
        <f t="shared" si="0"/>
        <v>870530.74152802094</v>
      </c>
      <c r="H14" s="21">
        <f t="shared" si="0"/>
        <v>125232.21856370934</v>
      </c>
      <c r="I14" s="21"/>
      <c r="J14" s="21"/>
      <c r="K14" s="21"/>
      <c r="L14" s="21"/>
      <c r="M14" s="21">
        <f t="shared" si="0"/>
        <v>58470.506824743068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7.883022632941375E-2</v>
      </c>
      <c r="C16" s="56">
        <f ca="1">'EF ele_warmte'!B22</f>
        <v>0.1589433877216275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66.435318767327715</v>
      </c>
      <c r="C18" s="23"/>
      <c r="D18" s="23">
        <f t="shared" ref="D18:M18" si="1">D14*D16</f>
        <v>280.47817288741777</v>
      </c>
      <c r="E18" s="23">
        <f t="shared" si="1"/>
        <v>293.30868529532108</v>
      </c>
      <c r="F18" s="23"/>
      <c r="G18" s="23">
        <f t="shared" si="1"/>
        <v>232431.70798798162</v>
      </c>
      <c r="H18" s="23">
        <f t="shared" si="1"/>
        <v>31182.822422363624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1.7750593863783182E-4</v>
      </c>
      <c r="C50" s="315">
        <f t="shared" ref="C50:P50" si="2">SUM(C51:C52)</f>
        <v>0</v>
      </c>
      <c r="D50" s="315">
        <f t="shared" si="2"/>
        <v>0</v>
      </c>
      <c r="E50" s="315">
        <f t="shared" si="2"/>
        <v>0</v>
      </c>
      <c r="F50" s="315">
        <f t="shared" si="2"/>
        <v>0</v>
      </c>
      <c r="G50" s="315">
        <f t="shared" si="2"/>
        <v>1.2860572600844871E-2</v>
      </c>
      <c r="H50" s="315">
        <f t="shared" si="2"/>
        <v>0</v>
      </c>
      <c r="I50" s="315">
        <f t="shared" si="2"/>
        <v>0</v>
      </c>
      <c r="J50" s="315">
        <f t="shared" si="2"/>
        <v>0</v>
      </c>
      <c r="K50" s="315">
        <f t="shared" si="2"/>
        <v>0</v>
      </c>
      <c r="L50" s="315">
        <f t="shared" si="2"/>
        <v>0</v>
      </c>
      <c r="M50" s="315">
        <f t="shared" si="2"/>
        <v>7.2743228510246006E-4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1.7750593863783182E-4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1.2860572600844871E-2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7.2743228510246006E-4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49.307205177175511</v>
      </c>
      <c r="C54" s="21">
        <f t="shared" ref="C54:P54" si="3">(C50)*10^9/3600</f>
        <v>0</v>
      </c>
      <c r="D54" s="21">
        <f t="shared" si="3"/>
        <v>0</v>
      </c>
      <c r="E54" s="21">
        <f t="shared" si="3"/>
        <v>0</v>
      </c>
      <c r="F54" s="21">
        <f t="shared" si="3"/>
        <v>0</v>
      </c>
      <c r="G54" s="21">
        <f t="shared" si="3"/>
        <v>3572.3812780124645</v>
      </c>
      <c r="H54" s="21">
        <f t="shared" si="3"/>
        <v>0</v>
      </c>
      <c r="I54" s="21">
        <f t="shared" si="3"/>
        <v>0</v>
      </c>
      <c r="J54" s="21">
        <f t="shared" si="3"/>
        <v>0</v>
      </c>
      <c r="K54" s="21">
        <f t="shared" si="3"/>
        <v>0</v>
      </c>
      <c r="L54" s="21">
        <f t="shared" si="3"/>
        <v>0</v>
      </c>
      <c r="M54" s="21">
        <f t="shared" si="3"/>
        <v>202.06452363957223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7.883022632941375E-2</v>
      </c>
      <c r="C56" s="56">
        <f ca="1">'EF ele_warmte'!B22</f>
        <v>0.1589433877216275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3.8868981437875871</v>
      </c>
      <c r="C58" s="23">
        <f t="shared" ref="C58:P58" ca="1" si="4">C54*C56</f>
        <v>0</v>
      </c>
      <c r="D58" s="23">
        <f t="shared" si="4"/>
        <v>0</v>
      </c>
      <c r="E58" s="23">
        <f t="shared" si="4"/>
        <v>0</v>
      </c>
      <c r="F58" s="23">
        <f t="shared" si="4"/>
        <v>0</v>
      </c>
      <c r="G58" s="23">
        <f t="shared" si="4"/>
        <v>953.82580122932802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6"/>
  <sheetViews>
    <sheetView showGridLines="0" topLeftCell="A299" zoomScale="65" zoomScaleNormal="65" workbookViewId="0">
      <selection activeCell="M43" sqref="M43"/>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183521.43702390528</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46507.763061220649</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N44</f>
        <v>127504.07999999999</v>
      </c>
      <c r="C8" s="543">
        <f>B63</f>
        <v>100326.3882352941</v>
      </c>
      <c r="D8" s="544"/>
      <c r="E8" s="544">
        <f>E63</f>
        <v>0</v>
      </c>
      <c r="F8" s="545"/>
      <c r="G8" s="546"/>
      <c r="H8" s="544">
        <f>I63</f>
        <v>0</v>
      </c>
      <c r="I8" s="544">
        <f>G63+F63</f>
        <v>0</v>
      </c>
      <c r="J8" s="544">
        <f>H63+D63+C63</f>
        <v>49678.411764705881</v>
      </c>
      <c r="K8" s="544"/>
      <c r="L8" s="544"/>
      <c r="M8" s="544"/>
      <c r="N8" s="547"/>
      <c r="O8" s="548">
        <f>C8*$C$12+D8*$D$12+E8*$E$12+F8*$F$12+G8*$G$12+H8*$H$12+I8*$I$12+J8*$J$12</f>
        <v>20265.930423529411</v>
      </c>
      <c r="P8" s="1244"/>
      <c r="Q8" s="1245"/>
      <c r="S8" s="538"/>
      <c r="T8" s="1232"/>
      <c r="U8" s="1232"/>
    </row>
    <row r="9" spans="1:21" s="529" customFormat="1" ht="17.45" customHeight="1" thickBot="1">
      <c r="A9" s="549" t="s">
        <v>242</v>
      </c>
      <c r="B9" s="550">
        <f>N51+'Eigen informatie GS &amp; warmtenet'!B12</f>
        <v>0</v>
      </c>
      <c r="C9" s="551">
        <f>P51+IF(ISERROR(('Eigen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S51+IF(ISERROR('Eigen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W51+IF(ISERROR('Eigen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(T51+U51)+IF(ISERROR('Eigen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V51+Q51+R51+IF(ISERROR('Eigen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357533.28008512594</v>
      </c>
      <c r="C10" s="558">
        <f t="shared" ref="C10:L10" si="0">SUM(C8:C9)</f>
        <v>100326.3882352941</v>
      </c>
      <c r="D10" s="558">
        <f t="shared" si="0"/>
        <v>0</v>
      </c>
      <c r="E10" s="558">
        <f t="shared" si="0"/>
        <v>0</v>
      </c>
      <c r="F10" s="558">
        <f t="shared" si="0"/>
        <v>0</v>
      </c>
      <c r="G10" s="558">
        <f t="shared" si="0"/>
        <v>0</v>
      </c>
      <c r="H10" s="558">
        <f t="shared" si="0"/>
        <v>0</v>
      </c>
      <c r="I10" s="558">
        <f t="shared" si="0"/>
        <v>0</v>
      </c>
      <c r="J10" s="558">
        <f t="shared" si="0"/>
        <v>49678.411764705881</v>
      </c>
      <c r="K10" s="558">
        <f t="shared" si="0"/>
        <v>0</v>
      </c>
      <c r="L10" s="558">
        <f t="shared" si="0"/>
        <v>0</v>
      </c>
      <c r="M10" s="965"/>
      <c r="N10" s="965"/>
      <c r="O10" s="559">
        <f>SUM(O4:O9)</f>
        <v>20265.930423529411</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O44</f>
        <v>182148.68571428573</v>
      </c>
      <c r="C17" s="574">
        <f>B64</f>
        <v>143323.4117647059</v>
      </c>
      <c r="D17" s="575"/>
      <c r="E17" s="575">
        <f>E64</f>
        <v>0</v>
      </c>
      <c r="F17" s="576"/>
      <c r="G17" s="577"/>
      <c r="H17" s="574">
        <f>I64</f>
        <v>0</v>
      </c>
      <c r="I17" s="575">
        <f>G64+F64</f>
        <v>0</v>
      </c>
      <c r="J17" s="575">
        <f>H64+D64+C64</f>
        <v>70969.159663865561</v>
      </c>
      <c r="K17" s="575"/>
      <c r="L17" s="575"/>
      <c r="M17" s="575"/>
      <c r="N17" s="966"/>
      <c r="O17" s="578">
        <f>C17*$C$22+E17*$E$22+H17*$H$22+I17*$I$22+J17*$J$22+D17*$D$22+F17*$F$22+G17*$G$22+K17*$K$22+L17*$L$22</f>
        <v>28951.329176470594</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182148.68571428573</v>
      </c>
      <c r="C20" s="557">
        <f>SUM(C17:C19)</f>
        <v>143323.4117647059</v>
      </c>
      <c r="D20" s="557">
        <f t="shared" ref="D20:L20" si="1">SUM(D17:D19)</f>
        <v>0</v>
      </c>
      <c r="E20" s="557">
        <f t="shared" si="1"/>
        <v>0</v>
      </c>
      <c r="F20" s="557">
        <f t="shared" si="1"/>
        <v>0</v>
      </c>
      <c r="G20" s="557">
        <f t="shared" si="1"/>
        <v>0</v>
      </c>
      <c r="H20" s="557">
        <f t="shared" si="1"/>
        <v>0</v>
      </c>
      <c r="I20" s="557">
        <f t="shared" si="1"/>
        <v>0</v>
      </c>
      <c r="J20" s="557">
        <f t="shared" si="1"/>
        <v>70969.159663865561</v>
      </c>
      <c r="K20" s="557">
        <f t="shared" si="1"/>
        <v>0</v>
      </c>
      <c r="L20" s="557">
        <f t="shared" si="1"/>
        <v>0</v>
      </c>
      <c r="M20" s="557"/>
      <c r="N20" s="557"/>
      <c r="O20" s="583">
        <f>SUM(O17:O19)</f>
        <v>28951.329176470594</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46003</v>
      </c>
      <c r="C28" s="785">
        <v>9120</v>
      </c>
      <c r="D28" s="635" t="s">
        <v>906</v>
      </c>
      <c r="E28" s="634" t="s">
        <v>907</v>
      </c>
      <c r="F28" s="634" t="s">
        <v>908</v>
      </c>
      <c r="G28" s="634" t="s">
        <v>909</v>
      </c>
      <c r="H28" s="634" t="s">
        <v>910</v>
      </c>
      <c r="I28" s="634" t="s">
        <v>907</v>
      </c>
      <c r="J28" s="784">
        <v>39377</v>
      </c>
      <c r="K28" s="784">
        <v>39380</v>
      </c>
      <c r="L28" s="634" t="s">
        <v>911</v>
      </c>
      <c r="M28" s="634">
        <v>1372</v>
      </c>
      <c r="N28" s="634">
        <v>6174.0000000000009</v>
      </c>
      <c r="O28" s="634">
        <v>8820.0000000000018</v>
      </c>
      <c r="P28" s="634">
        <v>17640.000000000004</v>
      </c>
      <c r="Q28" s="634">
        <v>0</v>
      </c>
      <c r="R28" s="634">
        <v>0</v>
      </c>
      <c r="S28" s="634">
        <v>0</v>
      </c>
      <c r="T28" s="634">
        <v>0</v>
      </c>
      <c r="U28" s="634">
        <v>0</v>
      </c>
      <c r="V28" s="634">
        <v>0</v>
      </c>
      <c r="W28" s="634">
        <v>0</v>
      </c>
      <c r="X28" s="634">
        <v>10</v>
      </c>
      <c r="Y28" s="634" t="s">
        <v>111</v>
      </c>
      <c r="Z28" s="636" t="s">
        <v>111</v>
      </c>
    </row>
    <row r="29" spans="1:26" s="588" customFormat="1" ht="25.5">
      <c r="A29" s="587"/>
      <c r="B29" s="785">
        <v>46003</v>
      </c>
      <c r="C29" s="785">
        <v>9120</v>
      </c>
      <c r="D29" s="635" t="s">
        <v>912</v>
      </c>
      <c r="E29" s="634" t="s">
        <v>913</v>
      </c>
      <c r="F29" s="634" t="s">
        <v>914</v>
      </c>
      <c r="G29" s="634" t="s">
        <v>909</v>
      </c>
      <c r="H29" s="634" t="s">
        <v>910</v>
      </c>
      <c r="I29" s="634" t="s">
        <v>913</v>
      </c>
      <c r="J29" s="784">
        <v>39568</v>
      </c>
      <c r="K29" s="784">
        <v>39568</v>
      </c>
      <c r="L29" s="634" t="s">
        <v>911</v>
      </c>
      <c r="M29" s="634">
        <v>2731</v>
      </c>
      <c r="N29" s="634">
        <v>12289.5</v>
      </c>
      <c r="O29" s="634">
        <v>17556.428571428572</v>
      </c>
      <c r="P29" s="634">
        <v>35112.857142857145</v>
      </c>
      <c r="Q29" s="634">
        <v>0</v>
      </c>
      <c r="R29" s="634">
        <v>0</v>
      </c>
      <c r="S29" s="634">
        <v>0</v>
      </c>
      <c r="T29" s="634">
        <v>0</v>
      </c>
      <c r="U29" s="634">
        <v>0</v>
      </c>
      <c r="V29" s="634">
        <v>0</v>
      </c>
      <c r="W29" s="634">
        <v>0</v>
      </c>
      <c r="X29" s="634">
        <v>10</v>
      </c>
      <c r="Y29" s="634" t="s">
        <v>111</v>
      </c>
      <c r="Z29" s="636" t="s">
        <v>111</v>
      </c>
    </row>
    <row r="30" spans="1:26" s="588" customFormat="1" ht="25.5">
      <c r="A30" s="587"/>
      <c r="B30" s="785">
        <v>46003</v>
      </c>
      <c r="C30" s="785">
        <v>9120</v>
      </c>
      <c r="D30" s="635" t="s">
        <v>915</v>
      </c>
      <c r="E30" s="634" t="s">
        <v>916</v>
      </c>
      <c r="F30" s="634" t="s">
        <v>917</v>
      </c>
      <c r="G30" s="634" t="s">
        <v>909</v>
      </c>
      <c r="H30" s="634" t="s">
        <v>910</v>
      </c>
      <c r="I30" s="634" t="s">
        <v>916</v>
      </c>
      <c r="J30" s="784">
        <v>39737</v>
      </c>
      <c r="K30" s="784">
        <v>39737</v>
      </c>
      <c r="L30" s="634" t="s">
        <v>911</v>
      </c>
      <c r="M30" s="634">
        <v>1562</v>
      </c>
      <c r="N30" s="634">
        <v>7029</v>
      </c>
      <c r="O30" s="634">
        <v>10041.428571428572</v>
      </c>
      <c r="P30" s="634">
        <v>20082.857142857145</v>
      </c>
      <c r="Q30" s="634">
        <v>0</v>
      </c>
      <c r="R30" s="634">
        <v>0</v>
      </c>
      <c r="S30" s="634">
        <v>0</v>
      </c>
      <c r="T30" s="634">
        <v>0</v>
      </c>
      <c r="U30" s="634">
        <v>0</v>
      </c>
      <c r="V30" s="634">
        <v>0</v>
      </c>
      <c r="W30" s="634">
        <v>0</v>
      </c>
      <c r="X30" s="634">
        <v>10</v>
      </c>
      <c r="Y30" s="634" t="s">
        <v>111</v>
      </c>
      <c r="Z30" s="636" t="s">
        <v>111</v>
      </c>
    </row>
    <row r="31" spans="1:26" s="588" customFormat="1" ht="25.5">
      <c r="A31" s="587"/>
      <c r="B31" s="785">
        <v>46003</v>
      </c>
      <c r="C31" s="785">
        <v>9120</v>
      </c>
      <c r="D31" s="635" t="s">
        <v>918</v>
      </c>
      <c r="E31" s="634" t="s">
        <v>919</v>
      </c>
      <c r="F31" s="634" t="s">
        <v>920</v>
      </c>
      <c r="G31" s="634" t="s">
        <v>909</v>
      </c>
      <c r="H31" s="634" t="s">
        <v>910</v>
      </c>
      <c r="I31" s="634" t="s">
        <v>919</v>
      </c>
      <c r="J31" s="784">
        <v>40927</v>
      </c>
      <c r="K31" s="784">
        <v>39841</v>
      </c>
      <c r="L31" s="634" t="s">
        <v>911</v>
      </c>
      <c r="M31" s="634">
        <v>2233</v>
      </c>
      <c r="N31" s="634">
        <v>10048.5</v>
      </c>
      <c r="O31" s="634">
        <v>14355</v>
      </c>
      <c r="P31" s="634">
        <v>0</v>
      </c>
      <c r="Q31" s="634">
        <v>28710.000000000004</v>
      </c>
      <c r="R31" s="634">
        <v>0</v>
      </c>
      <c r="S31" s="634">
        <v>0</v>
      </c>
      <c r="T31" s="634">
        <v>0</v>
      </c>
      <c r="U31" s="634">
        <v>0</v>
      </c>
      <c r="V31" s="634">
        <v>0</v>
      </c>
      <c r="W31" s="634">
        <v>0</v>
      </c>
      <c r="X31" s="634">
        <v>10</v>
      </c>
      <c r="Y31" s="634" t="s">
        <v>111</v>
      </c>
      <c r="Z31" s="636" t="s">
        <v>111</v>
      </c>
    </row>
    <row r="32" spans="1:26" s="588" customFormat="1" ht="25.5">
      <c r="A32" s="587"/>
      <c r="B32" s="785">
        <v>46003</v>
      </c>
      <c r="C32" s="785">
        <v>9120</v>
      </c>
      <c r="D32" s="635" t="s">
        <v>921</v>
      </c>
      <c r="E32" s="634" t="s">
        <v>922</v>
      </c>
      <c r="F32" s="634" t="s">
        <v>923</v>
      </c>
      <c r="G32" s="634" t="s">
        <v>909</v>
      </c>
      <c r="H32" s="634" t="s">
        <v>910</v>
      </c>
      <c r="I32" s="634" t="s">
        <v>922</v>
      </c>
      <c r="J32" s="784">
        <v>40954</v>
      </c>
      <c r="K32" s="784">
        <v>39990</v>
      </c>
      <c r="L32" s="634" t="s">
        <v>911</v>
      </c>
      <c r="M32" s="634">
        <v>3898</v>
      </c>
      <c r="N32" s="634">
        <v>17541</v>
      </c>
      <c r="O32" s="634">
        <v>25058.571428571428</v>
      </c>
      <c r="P32" s="634">
        <v>50117.142857142862</v>
      </c>
      <c r="Q32" s="634">
        <v>0</v>
      </c>
      <c r="R32" s="634">
        <v>0</v>
      </c>
      <c r="S32" s="634">
        <v>0</v>
      </c>
      <c r="T32" s="634">
        <v>0</v>
      </c>
      <c r="U32" s="634">
        <v>0</v>
      </c>
      <c r="V32" s="634">
        <v>0</v>
      </c>
      <c r="W32" s="634">
        <v>0</v>
      </c>
      <c r="X32" s="634">
        <v>10</v>
      </c>
      <c r="Y32" s="634" t="s">
        <v>111</v>
      </c>
      <c r="Z32" s="636" t="s">
        <v>111</v>
      </c>
    </row>
    <row r="33" spans="1:26" s="588" customFormat="1" ht="25.5">
      <c r="A33" s="587"/>
      <c r="B33" s="785">
        <v>46003</v>
      </c>
      <c r="C33" s="785">
        <v>9120</v>
      </c>
      <c r="D33" s="635" t="s">
        <v>924</v>
      </c>
      <c r="E33" s="634" t="s">
        <v>925</v>
      </c>
      <c r="F33" s="634" t="s">
        <v>926</v>
      </c>
      <c r="G33" s="634" t="s">
        <v>909</v>
      </c>
      <c r="H33" s="634" t="s">
        <v>910</v>
      </c>
      <c r="I33" s="634" t="s">
        <v>927</v>
      </c>
      <c r="J33" s="784">
        <v>40333</v>
      </c>
      <c r="K33" s="784">
        <v>40345</v>
      </c>
      <c r="L33" s="634" t="s">
        <v>911</v>
      </c>
      <c r="M33" s="634">
        <v>1994</v>
      </c>
      <c r="N33" s="634">
        <v>8973</v>
      </c>
      <c r="O33" s="634">
        <v>12818.571428571429</v>
      </c>
      <c r="P33" s="634">
        <v>25637.142857142859</v>
      </c>
      <c r="Q33" s="634">
        <v>0</v>
      </c>
      <c r="R33" s="634">
        <v>0</v>
      </c>
      <c r="S33" s="634">
        <v>0</v>
      </c>
      <c r="T33" s="634">
        <v>0</v>
      </c>
      <c r="U33" s="634">
        <v>0</v>
      </c>
      <c r="V33" s="634">
        <v>0</v>
      </c>
      <c r="W33" s="634">
        <v>0</v>
      </c>
      <c r="X33" s="634">
        <v>10</v>
      </c>
      <c r="Y33" s="634" t="s">
        <v>111</v>
      </c>
      <c r="Z33" s="636" t="s">
        <v>111</v>
      </c>
    </row>
    <row r="34" spans="1:26" s="588" customFormat="1" ht="25.5">
      <c r="A34" s="587"/>
      <c r="B34" s="785">
        <v>46003</v>
      </c>
      <c r="C34" s="785">
        <v>9120</v>
      </c>
      <c r="D34" s="635" t="s">
        <v>928</v>
      </c>
      <c r="E34" s="634" t="s">
        <v>929</v>
      </c>
      <c r="F34" s="634" t="s">
        <v>930</v>
      </c>
      <c r="G34" s="634" t="s">
        <v>909</v>
      </c>
      <c r="H34" s="634" t="s">
        <v>910</v>
      </c>
      <c r="I34" s="634" t="s">
        <v>929</v>
      </c>
      <c r="J34" s="784">
        <v>40819</v>
      </c>
      <c r="K34" s="784">
        <v>40834</v>
      </c>
      <c r="L34" s="634" t="s">
        <v>911</v>
      </c>
      <c r="M34" s="634">
        <v>197</v>
      </c>
      <c r="N34" s="634">
        <v>886.5</v>
      </c>
      <c r="O34" s="634">
        <v>1266.4285714285716</v>
      </c>
      <c r="P34" s="634">
        <v>2532.8571428571431</v>
      </c>
      <c r="Q34" s="634">
        <v>0</v>
      </c>
      <c r="R34" s="634">
        <v>0</v>
      </c>
      <c r="S34" s="634">
        <v>0</v>
      </c>
      <c r="T34" s="634">
        <v>0</v>
      </c>
      <c r="U34" s="634">
        <v>0</v>
      </c>
      <c r="V34" s="634">
        <v>0</v>
      </c>
      <c r="W34" s="634">
        <v>0</v>
      </c>
      <c r="X34" s="634">
        <v>1200</v>
      </c>
      <c r="Y34" s="634" t="s">
        <v>52</v>
      </c>
      <c r="Z34" s="636" t="s">
        <v>155</v>
      </c>
    </row>
    <row r="35" spans="1:26" s="588" customFormat="1" ht="25.5">
      <c r="A35" s="587"/>
      <c r="B35" s="785">
        <v>46003</v>
      </c>
      <c r="C35" s="785">
        <v>9120</v>
      </c>
      <c r="D35" s="635" t="s">
        <v>931</v>
      </c>
      <c r="E35" s="634" t="s">
        <v>932</v>
      </c>
      <c r="F35" s="634" t="s">
        <v>933</v>
      </c>
      <c r="G35" s="634" t="s">
        <v>909</v>
      </c>
      <c r="H35" s="634" t="s">
        <v>910</v>
      </c>
      <c r="I35" s="634" t="s">
        <v>932</v>
      </c>
      <c r="J35" s="784">
        <v>41184</v>
      </c>
      <c r="K35" s="784">
        <v>41184</v>
      </c>
      <c r="L35" s="634" t="s">
        <v>911</v>
      </c>
      <c r="M35" s="634">
        <v>2978</v>
      </c>
      <c r="N35" s="634">
        <v>13401.000000000002</v>
      </c>
      <c r="O35" s="634">
        <v>19144.285714285717</v>
      </c>
      <c r="P35" s="634">
        <v>0</v>
      </c>
      <c r="Q35" s="634">
        <v>38288.571428571435</v>
      </c>
      <c r="R35" s="634">
        <v>0</v>
      </c>
      <c r="S35" s="634">
        <v>0</v>
      </c>
      <c r="T35" s="634">
        <v>0</v>
      </c>
      <c r="U35" s="634">
        <v>0</v>
      </c>
      <c r="V35" s="634">
        <v>0</v>
      </c>
      <c r="W35" s="634">
        <v>0</v>
      </c>
      <c r="X35" s="634">
        <v>10</v>
      </c>
      <c r="Y35" s="634" t="s">
        <v>111</v>
      </c>
      <c r="Z35" s="636" t="s">
        <v>111</v>
      </c>
    </row>
    <row r="36" spans="1:26" s="588" customFormat="1" ht="63.75">
      <c r="A36" s="587"/>
      <c r="B36" s="785">
        <v>46003</v>
      </c>
      <c r="C36" s="785">
        <v>9120</v>
      </c>
      <c r="D36" s="635" t="s">
        <v>934</v>
      </c>
      <c r="E36" s="634" t="s">
        <v>935</v>
      </c>
      <c r="F36" s="634" t="s">
        <v>936</v>
      </c>
      <c r="G36" s="634" t="s">
        <v>909</v>
      </c>
      <c r="H36" s="634" t="s">
        <v>910</v>
      </c>
      <c r="I36" s="634" t="s">
        <v>937</v>
      </c>
      <c r="J36" s="784">
        <v>41450</v>
      </c>
      <c r="K36" s="784">
        <v>41361</v>
      </c>
      <c r="L36" s="634" t="s">
        <v>911</v>
      </c>
      <c r="M36" s="634">
        <v>70</v>
      </c>
      <c r="N36" s="634">
        <v>315.00000000000006</v>
      </c>
      <c r="O36" s="634">
        <v>450.00000000000011</v>
      </c>
      <c r="P36" s="634">
        <v>900.00000000000023</v>
      </c>
      <c r="Q36" s="634">
        <v>0</v>
      </c>
      <c r="R36" s="634">
        <v>0</v>
      </c>
      <c r="S36" s="634">
        <v>0</v>
      </c>
      <c r="T36" s="634">
        <v>0</v>
      </c>
      <c r="U36" s="634">
        <v>0</v>
      </c>
      <c r="V36" s="634">
        <v>0</v>
      </c>
      <c r="W36" s="634">
        <v>0</v>
      </c>
      <c r="X36" s="634">
        <v>1600</v>
      </c>
      <c r="Y36" s="634" t="s">
        <v>49</v>
      </c>
      <c r="Z36" s="636" t="s">
        <v>155</v>
      </c>
    </row>
    <row r="37" spans="1:26" s="588" customFormat="1" ht="25.5">
      <c r="A37" s="587"/>
      <c r="B37" s="785">
        <v>46003</v>
      </c>
      <c r="C37" s="785">
        <v>9120</v>
      </c>
      <c r="D37" s="635" t="s">
        <v>938</v>
      </c>
      <c r="E37" s="634" t="s">
        <v>939</v>
      </c>
      <c r="F37" s="634" t="s">
        <v>940</v>
      </c>
      <c r="G37" s="634" t="s">
        <v>909</v>
      </c>
      <c r="H37" s="634" t="s">
        <v>910</v>
      </c>
      <c r="I37" s="634" t="s">
        <v>939</v>
      </c>
      <c r="J37" s="784">
        <v>41373</v>
      </c>
      <c r="K37" s="784">
        <v>41373</v>
      </c>
      <c r="L37" s="634" t="s">
        <v>911</v>
      </c>
      <c r="M37" s="634">
        <v>9.6999999999999993</v>
      </c>
      <c r="N37" s="634">
        <v>43.649999999999991</v>
      </c>
      <c r="O37" s="634">
        <v>62.357142857142847</v>
      </c>
      <c r="P37" s="634">
        <v>0</v>
      </c>
      <c r="Q37" s="634">
        <v>124.71428571428569</v>
      </c>
      <c r="R37" s="634">
        <v>0</v>
      </c>
      <c r="S37" s="634">
        <v>0</v>
      </c>
      <c r="T37" s="634">
        <v>0</v>
      </c>
      <c r="U37" s="634">
        <v>0</v>
      </c>
      <c r="V37" s="634">
        <v>0</v>
      </c>
      <c r="W37" s="634">
        <v>0</v>
      </c>
      <c r="X37" s="634">
        <v>10</v>
      </c>
      <c r="Y37" s="634" t="s">
        <v>111</v>
      </c>
      <c r="Z37" s="636" t="s">
        <v>111</v>
      </c>
    </row>
    <row r="38" spans="1:26" s="588" customFormat="1" ht="25.5">
      <c r="A38" s="587"/>
      <c r="B38" s="785">
        <v>46003</v>
      </c>
      <c r="C38" s="785">
        <v>9130</v>
      </c>
      <c r="D38" s="635" t="s">
        <v>941</v>
      </c>
      <c r="E38" s="634" t="s">
        <v>942</v>
      </c>
      <c r="F38" s="634" t="s">
        <v>943</v>
      </c>
      <c r="G38" s="634" t="s">
        <v>909</v>
      </c>
      <c r="H38" s="634" t="s">
        <v>910</v>
      </c>
      <c r="I38" s="634" t="s">
        <v>942</v>
      </c>
      <c r="J38" s="784">
        <v>41814</v>
      </c>
      <c r="K38" s="784">
        <v>41814</v>
      </c>
      <c r="L38" s="634" t="s">
        <v>911</v>
      </c>
      <c r="M38" s="634">
        <v>1189</v>
      </c>
      <c r="N38" s="634">
        <v>5350.5</v>
      </c>
      <c r="O38" s="634">
        <v>7643.5714285714284</v>
      </c>
      <c r="P38" s="634">
        <v>0</v>
      </c>
      <c r="Q38" s="634">
        <v>15287.142857142859</v>
      </c>
      <c r="R38" s="634">
        <v>0</v>
      </c>
      <c r="S38" s="634">
        <v>0</v>
      </c>
      <c r="T38" s="634">
        <v>0</v>
      </c>
      <c r="U38" s="634">
        <v>0</v>
      </c>
      <c r="V38" s="634">
        <v>0</v>
      </c>
      <c r="W38" s="634">
        <v>0</v>
      </c>
      <c r="X38" s="634">
        <v>500</v>
      </c>
      <c r="Y38" s="634" t="s">
        <v>40</v>
      </c>
      <c r="Z38" s="636" t="s">
        <v>377</v>
      </c>
    </row>
    <row r="39" spans="1:26" s="588" customFormat="1" ht="63.75">
      <c r="A39" s="587"/>
      <c r="B39" s="785">
        <v>46003</v>
      </c>
      <c r="C39" s="785">
        <v>9120</v>
      </c>
      <c r="D39" s="635" t="s">
        <v>944</v>
      </c>
      <c r="E39" s="634" t="s">
        <v>945</v>
      </c>
      <c r="F39" s="634" t="s">
        <v>946</v>
      </c>
      <c r="G39" s="634" t="s">
        <v>909</v>
      </c>
      <c r="H39" s="634" t="s">
        <v>910</v>
      </c>
      <c r="I39" s="634" t="s">
        <v>947</v>
      </c>
      <c r="J39" s="784">
        <v>41936</v>
      </c>
      <c r="K39" s="784">
        <v>41936</v>
      </c>
      <c r="L39" s="634" t="s">
        <v>948</v>
      </c>
      <c r="M39" s="634">
        <v>2974</v>
      </c>
      <c r="N39" s="634">
        <v>13383</v>
      </c>
      <c r="O39" s="634">
        <v>19118.571428571428</v>
      </c>
      <c r="P39" s="634">
        <v>0</v>
      </c>
      <c r="Q39" s="634">
        <v>38237.142857142862</v>
      </c>
      <c r="R39" s="634">
        <v>0</v>
      </c>
      <c r="S39" s="634">
        <v>0</v>
      </c>
      <c r="T39" s="634">
        <v>0</v>
      </c>
      <c r="U39" s="634">
        <v>0</v>
      </c>
      <c r="V39" s="634">
        <v>0</v>
      </c>
      <c r="W39" s="634">
        <v>0</v>
      </c>
      <c r="X39" s="634">
        <v>1600</v>
      </c>
      <c r="Y39" s="634" t="s">
        <v>49</v>
      </c>
      <c r="Z39" s="636" t="s">
        <v>155</v>
      </c>
    </row>
    <row r="40" spans="1:26" s="588" customFormat="1" ht="63.75">
      <c r="A40" s="587"/>
      <c r="B40" s="785">
        <v>46003</v>
      </c>
      <c r="C40" s="785">
        <v>9120</v>
      </c>
      <c r="D40" s="635" t="s">
        <v>949</v>
      </c>
      <c r="E40" s="634" t="s">
        <v>950</v>
      </c>
      <c r="F40" s="634" t="s">
        <v>951</v>
      </c>
      <c r="G40" s="634" t="s">
        <v>909</v>
      </c>
      <c r="H40" s="634" t="s">
        <v>910</v>
      </c>
      <c r="I40" s="634" t="s">
        <v>950</v>
      </c>
      <c r="J40" s="784">
        <v>42039</v>
      </c>
      <c r="K40" s="784">
        <v>42039</v>
      </c>
      <c r="L40" s="634" t="s">
        <v>911</v>
      </c>
      <c r="M40" s="634">
        <v>2126</v>
      </c>
      <c r="N40" s="634">
        <v>9567</v>
      </c>
      <c r="O40" s="634">
        <v>13667.142857142857</v>
      </c>
      <c r="P40" s="634">
        <v>27334.285714285717</v>
      </c>
      <c r="Q40" s="634">
        <v>0</v>
      </c>
      <c r="R40" s="634">
        <v>0</v>
      </c>
      <c r="S40" s="634">
        <v>0</v>
      </c>
      <c r="T40" s="634">
        <v>0</v>
      </c>
      <c r="U40" s="634">
        <v>0</v>
      </c>
      <c r="V40" s="634">
        <v>0</v>
      </c>
      <c r="W40" s="634">
        <v>0</v>
      </c>
      <c r="X40" s="634">
        <v>1600</v>
      </c>
      <c r="Y40" s="634" t="s">
        <v>49</v>
      </c>
      <c r="Z40" s="636" t="s">
        <v>155</v>
      </c>
    </row>
    <row r="41" spans="1:26" s="588" customFormat="1" ht="25.5">
      <c r="A41" s="587"/>
      <c r="B41" s="785">
        <v>46003</v>
      </c>
      <c r="C41" s="785">
        <v>9120</v>
      </c>
      <c r="D41" s="635" t="s">
        <v>952</v>
      </c>
      <c r="E41" s="634"/>
      <c r="F41" s="634" t="s">
        <v>953</v>
      </c>
      <c r="G41" s="634" t="s">
        <v>909</v>
      </c>
      <c r="H41" s="634" t="s">
        <v>910</v>
      </c>
      <c r="I41" s="634" t="s">
        <v>954</v>
      </c>
      <c r="J41" s="784">
        <v>42361</v>
      </c>
      <c r="K41" s="784">
        <v>42377</v>
      </c>
      <c r="L41" s="634" t="s">
        <v>955</v>
      </c>
      <c r="M41" s="634">
        <v>2004</v>
      </c>
      <c r="N41" s="634">
        <v>9018</v>
      </c>
      <c r="O41" s="634">
        <v>12882.857142857143</v>
      </c>
      <c r="P41" s="634">
        <v>25765.714285714286</v>
      </c>
      <c r="Q41" s="634">
        <v>0</v>
      </c>
      <c r="R41" s="634">
        <v>0</v>
      </c>
      <c r="S41" s="634">
        <v>0</v>
      </c>
      <c r="T41" s="634">
        <v>0</v>
      </c>
      <c r="U41" s="634">
        <v>0</v>
      </c>
      <c r="V41" s="634">
        <v>0</v>
      </c>
      <c r="W41" s="634">
        <v>0</v>
      </c>
      <c r="X41" s="634">
        <v>400</v>
      </c>
      <c r="Y41" s="634" t="s">
        <v>36</v>
      </c>
      <c r="Z41" s="636" t="s">
        <v>377</v>
      </c>
    </row>
    <row r="42" spans="1:26" s="588" customFormat="1" ht="25.5">
      <c r="A42" s="587"/>
      <c r="B42" s="785">
        <v>46003</v>
      </c>
      <c r="C42" s="785">
        <v>9120</v>
      </c>
      <c r="D42" s="635" t="s">
        <v>956</v>
      </c>
      <c r="E42" s="634"/>
      <c r="F42" s="634" t="s">
        <v>957</v>
      </c>
      <c r="G42" s="634" t="s">
        <v>958</v>
      </c>
      <c r="H42" s="634" t="s">
        <v>910</v>
      </c>
      <c r="I42" s="634" t="s">
        <v>959</v>
      </c>
      <c r="J42" s="784">
        <v>42277</v>
      </c>
      <c r="K42" s="784">
        <v>42277</v>
      </c>
      <c r="L42" s="634" t="s">
        <v>955</v>
      </c>
      <c r="M42" s="634">
        <v>2987</v>
      </c>
      <c r="N42" s="634">
        <v>13441.5</v>
      </c>
      <c r="O42" s="634">
        <v>19202.142857142859</v>
      </c>
      <c r="P42" s="634">
        <v>38404.285714285717</v>
      </c>
      <c r="Q42" s="634">
        <v>0</v>
      </c>
      <c r="R42" s="634">
        <v>0</v>
      </c>
      <c r="S42" s="634">
        <v>0</v>
      </c>
      <c r="T42" s="634">
        <v>0</v>
      </c>
      <c r="U42" s="634">
        <v>0</v>
      </c>
      <c r="V42" s="634">
        <v>0</v>
      </c>
      <c r="W42" s="634">
        <v>0</v>
      </c>
      <c r="X42" s="634">
        <v>1600</v>
      </c>
      <c r="Y42" s="634" t="s">
        <v>32</v>
      </c>
      <c r="Z42" s="636" t="s">
        <v>377</v>
      </c>
    </row>
    <row r="43" spans="1:26" s="588" customFormat="1" ht="25.5">
      <c r="A43" s="587"/>
      <c r="B43" s="785">
        <v>46003</v>
      </c>
      <c r="C43" s="785">
        <v>9120</v>
      </c>
      <c r="D43" s="635" t="s">
        <v>960</v>
      </c>
      <c r="E43" s="634"/>
      <c r="F43" s="634" t="s">
        <v>961</v>
      </c>
      <c r="G43" s="634" t="s">
        <v>958</v>
      </c>
      <c r="H43" s="634" t="s">
        <v>910</v>
      </c>
      <c r="I43" s="634" t="s">
        <v>962</v>
      </c>
      <c r="J43" s="784">
        <v>42401</v>
      </c>
      <c r="K43" s="784">
        <v>42401</v>
      </c>
      <c r="L43" s="634" t="s">
        <v>955</v>
      </c>
      <c r="M43" s="634">
        <v>9.5399999999999991</v>
      </c>
      <c r="N43" s="634">
        <v>42.93</v>
      </c>
      <c r="O43" s="634">
        <v>61.328571428571429</v>
      </c>
      <c r="P43" s="634">
        <v>122.65714285714286</v>
      </c>
      <c r="Q43" s="634">
        <v>0</v>
      </c>
      <c r="R43" s="634">
        <v>0</v>
      </c>
      <c r="S43" s="634">
        <v>0</v>
      </c>
      <c r="T43" s="634">
        <v>0</v>
      </c>
      <c r="U43" s="634">
        <v>0</v>
      </c>
      <c r="V43" s="634">
        <v>0</v>
      </c>
      <c r="W43" s="634">
        <v>0</v>
      </c>
      <c r="X43" s="634">
        <v>1100</v>
      </c>
      <c r="Y43" s="634" t="s">
        <v>160</v>
      </c>
      <c r="Z43" s="636" t="s">
        <v>155</v>
      </c>
    </row>
    <row r="44" spans="1:26" s="568" customFormat="1">
      <c r="A44" s="590" t="s">
        <v>274</v>
      </c>
      <c r="B44" s="591"/>
      <c r="C44" s="591"/>
      <c r="D44" s="591"/>
      <c r="E44" s="591"/>
      <c r="F44" s="591"/>
      <c r="G44" s="591"/>
      <c r="H44" s="591"/>
      <c r="I44" s="591"/>
      <c r="J44" s="591"/>
      <c r="K44" s="591"/>
      <c r="L44" s="592"/>
      <c r="M44" s="592">
        <f>SUM(M28:M43)</f>
        <v>28334.240000000002</v>
      </c>
      <c r="N44" s="592">
        <f>SUM(N28:N43)</f>
        <v>127504.07999999999</v>
      </c>
      <c r="O44" s="592">
        <f>SUM(O28:O43)</f>
        <v>182148.68571428573</v>
      </c>
      <c r="P44" s="592">
        <f>SUM(P28:P43)</f>
        <v>243649.80000000002</v>
      </c>
      <c r="Q44" s="592">
        <f>SUM(Q28:Q43)</f>
        <v>120647.57142857145</v>
      </c>
      <c r="R44" s="592">
        <f>SUM(R28:R43)</f>
        <v>0</v>
      </c>
      <c r="S44" s="592">
        <f>SUM(S28:S43)</f>
        <v>0</v>
      </c>
      <c r="T44" s="592">
        <f>SUM(T28:T43)</f>
        <v>0</v>
      </c>
      <c r="U44" s="592">
        <f>SUM(U28:U43)</f>
        <v>0</v>
      </c>
      <c r="V44" s="592">
        <f>SUM(V28:V43)</f>
        <v>0</v>
      </c>
      <c r="W44" s="592">
        <f>SUM(W28:W43)</f>
        <v>0</v>
      </c>
      <c r="X44" s="593"/>
      <c r="Y44" s="593"/>
      <c r="Z44" s="594"/>
    </row>
    <row r="45" spans="1:26" s="568" customFormat="1">
      <c r="A45" s="590" t="s">
        <v>281</v>
      </c>
      <c r="B45" s="591"/>
      <c r="C45" s="591"/>
      <c r="D45" s="591"/>
      <c r="E45" s="591"/>
      <c r="F45" s="591"/>
      <c r="G45" s="591"/>
      <c r="H45" s="591"/>
      <c r="I45" s="591"/>
      <c r="J45" s="591"/>
      <c r="K45" s="591"/>
      <c r="L45" s="592"/>
      <c r="M45" s="592">
        <f>SUMIF($Z$28:$Z$43,"industrie",M28:M43)</f>
        <v>6180</v>
      </c>
      <c r="N45" s="592">
        <f>SUMIF($Z$28:$Z$43,"industrie",N28:N43)</f>
        <v>27810</v>
      </c>
      <c r="O45" s="592">
        <f>SUMIF($Z$28:$Z$43,"industrie",O28:O43)</f>
        <v>39728.571428571435</v>
      </c>
      <c r="P45" s="592">
        <f>SUMIF($Z$28:$Z$43,"industrie",P28:P43)</f>
        <v>64170</v>
      </c>
      <c r="Q45" s="592">
        <f>SUMIF($Z$28:$Z$43,"industrie",Q28:Q43)</f>
        <v>15287.142857142859</v>
      </c>
      <c r="R45" s="592">
        <f>SUMIF($Z$28:$Z$43,"industrie",R28:R43)</f>
        <v>0</v>
      </c>
      <c r="S45" s="592">
        <f>SUMIF($Z$28:$Z$43,"industrie",S28:S43)</f>
        <v>0</v>
      </c>
      <c r="T45" s="592">
        <f>SUMIF($Z$28:$Z$43,"industrie",T28:T43)</f>
        <v>0</v>
      </c>
      <c r="U45" s="592">
        <f>SUMIF($Z$28:$Z$43,"industrie",U28:U43)</f>
        <v>0</v>
      </c>
      <c r="V45" s="592">
        <f>SUMIF($Z$28:$Z$43,"industrie",V28:V43)</f>
        <v>0</v>
      </c>
      <c r="W45" s="592">
        <f>SUMIF($Z$28:$Z$43,"industrie",W28:W43)</f>
        <v>0</v>
      </c>
      <c r="X45" s="593"/>
      <c r="Y45" s="593"/>
      <c r="Z45" s="594"/>
    </row>
    <row r="46" spans="1:26" s="568" customFormat="1">
      <c r="A46" s="590" t="s">
        <v>282</v>
      </c>
      <c r="B46" s="591"/>
      <c r="C46" s="591"/>
      <c r="D46" s="591"/>
      <c r="E46" s="591"/>
      <c r="F46" s="591"/>
      <c r="G46" s="591"/>
      <c r="H46" s="591"/>
      <c r="I46" s="591"/>
      <c r="J46" s="591"/>
      <c r="K46" s="591"/>
      <c r="L46" s="592"/>
      <c r="M46" s="592">
        <f ca="1">SUMIF($Z$28:AC43,"tertiair",M28:M43)</f>
        <v>5376.54</v>
      </c>
      <c r="N46" s="592">
        <f ca="1">SUMIF($Z$28:AD43,"tertiair",N28:N43)</f>
        <v>24194.43</v>
      </c>
      <c r="O46" s="592">
        <f ca="1">SUMIF($Z$28:AE43,"tertiair",O28:O43)</f>
        <v>34563.471428571429</v>
      </c>
      <c r="P46" s="592">
        <f ca="1">SUMIF($Z$28:AF43,"tertiair",P28:P43)</f>
        <v>30889.800000000007</v>
      </c>
      <c r="Q46" s="592">
        <f ca="1">SUMIF($Z$28:AG43,"tertiair",Q28:Q43)</f>
        <v>38237.142857142862</v>
      </c>
      <c r="R46" s="592">
        <f ca="1">SUMIF($Z$28:AH43,"tertiair",R28:R43)</f>
        <v>0</v>
      </c>
      <c r="S46" s="592">
        <f ca="1">SUMIF($Z$28:AI43,"tertiair",S28:S43)</f>
        <v>0</v>
      </c>
      <c r="T46" s="592">
        <f ca="1">SUMIF($Z$28:AJ43,"tertiair",T28:T43)</f>
        <v>0</v>
      </c>
      <c r="U46" s="592">
        <f ca="1">SUMIF($Z$28:AK43,"tertiair",U28:U43)</f>
        <v>0</v>
      </c>
      <c r="V46" s="592">
        <f ca="1">SUMIF($Z$28:AL43,"tertiair",V28:V43)</f>
        <v>0</v>
      </c>
      <c r="W46" s="592">
        <f ca="1">SUMIF($Z$28:AM43,"tertiair",W28:W43)</f>
        <v>0</v>
      </c>
      <c r="X46" s="593"/>
      <c r="Y46" s="593"/>
      <c r="Z46" s="594"/>
    </row>
    <row r="47" spans="1:26" s="568" customFormat="1" ht="15.75" thickBot="1">
      <c r="A47" s="595" t="s">
        <v>283</v>
      </c>
      <c r="B47" s="596"/>
      <c r="C47" s="596"/>
      <c r="D47" s="596"/>
      <c r="E47" s="596"/>
      <c r="F47" s="596"/>
      <c r="G47" s="596"/>
      <c r="H47" s="596"/>
      <c r="I47" s="596"/>
      <c r="J47" s="596"/>
      <c r="K47" s="596"/>
      <c r="L47" s="597"/>
      <c r="M47" s="597">
        <f>SUMIF($Z$28:$Z$43,"landbouw",M28:M43)</f>
        <v>16777.7</v>
      </c>
      <c r="N47" s="597">
        <f>SUMIF($Z$28:$Z$43,"landbouw",N28:N43)</f>
        <v>75499.649999999994</v>
      </c>
      <c r="O47" s="597">
        <f>SUMIF($Z$28:$Z$43,"landbouw",O28:O43)</f>
        <v>107856.64285714288</v>
      </c>
      <c r="P47" s="597">
        <f>SUMIF($Z$28:$Z$43,"landbouw",P28:P43)</f>
        <v>148590.00000000003</v>
      </c>
      <c r="Q47" s="597">
        <f>SUMIF($Z$28:$Z$43,"landbouw",Q28:Q43)</f>
        <v>67123.285714285725</v>
      </c>
      <c r="R47" s="597">
        <f>SUMIF($Z$28:$Z$43,"landbouw",R28:R43)</f>
        <v>0</v>
      </c>
      <c r="S47" s="597">
        <f>SUMIF($Z$28:$Z$43,"landbouw",S28:S43)</f>
        <v>0</v>
      </c>
      <c r="T47" s="597">
        <f>SUMIF($Z$28:$Z$43,"landbouw",T28:T43)</f>
        <v>0</v>
      </c>
      <c r="U47" s="597">
        <f>SUMIF($Z$28:$Z$43,"landbouw",U28:U43)</f>
        <v>0</v>
      </c>
      <c r="V47" s="597">
        <f>SUMIF($Z$28:$Z$43,"landbouw",V28:V43)</f>
        <v>0</v>
      </c>
      <c r="W47" s="597">
        <f>SUMIF($Z$28:$Z$43,"landbouw",W28:W43)</f>
        <v>0</v>
      </c>
      <c r="X47" s="598"/>
      <c r="Y47" s="598"/>
      <c r="Z47" s="599"/>
    </row>
    <row r="48" spans="1:26" s="529" customFormat="1" ht="15.75" thickBot="1">
      <c r="A48" s="600"/>
      <c r="B48" s="601"/>
      <c r="C48" s="601"/>
      <c r="D48" s="601"/>
      <c r="E48" s="601"/>
      <c r="F48" s="601"/>
      <c r="G48" s="601"/>
      <c r="H48" s="601"/>
      <c r="I48" s="601"/>
      <c r="J48" s="601"/>
      <c r="K48" s="601"/>
      <c r="L48" s="584"/>
      <c r="M48" s="584"/>
      <c r="N48" s="584"/>
      <c r="O48" s="585"/>
      <c r="P48" s="585"/>
    </row>
    <row r="49" spans="1:27" s="529" customFormat="1" ht="45">
      <c r="A49" s="602" t="s">
        <v>275</v>
      </c>
      <c r="B49" s="631" t="s">
        <v>89</v>
      </c>
      <c r="C49" s="631" t="s">
        <v>90</v>
      </c>
      <c r="D49" s="631" t="s">
        <v>91</v>
      </c>
      <c r="E49" s="631" t="s">
        <v>92</v>
      </c>
      <c r="F49" s="631" t="s">
        <v>93</v>
      </c>
      <c r="G49" s="631" t="s">
        <v>94</v>
      </c>
      <c r="H49" s="631" t="s">
        <v>95</v>
      </c>
      <c r="I49" s="631" t="s">
        <v>96</v>
      </c>
      <c r="J49" s="631" t="s">
        <v>97</v>
      </c>
      <c r="K49" s="631" t="s">
        <v>98</v>
      </c>
      <c r="L49" s="631" t="s">
        <v>99</v>
      </c>
      <c r="M49" s="632" t="s">
        <v>292</v>
      </c>
      <c r="N49" s="632" t="s">
        <v>100</v>
      </c>
      <c r="O49" s="632" t="s">
        <v>101</v>
      </c>
      <c r="P49" s="632" t="s">
        <v>517</v>
      </c>
      <c r="Q49" s="632" t="s">
        <v>102</v>
      </c>
      <c r="R49" s="632" t="s">
        <v>103</v>
      </c>
      <c r="S49" s="632" t="s">
        <v>104</v>
      </c>
      <c r="T49" s="632" t="s">
        <v>105</v>
      </c>
      <c r="U49" s="632" t="s">
        <v>106</v>
      </c>
      <c r="V49" s="632" t="s">
        <v>107</v>
      </c>
      <c r="W49" s="631" t="s">
        <v>108</v>
      </c>
      <c r="X49" s="631" t="s">
        <v>293</v>
      </c>
      <c r="Y49" s="631" t="s">
        <v>109</v>
      </c>
      <c r="Z49" s="633" t="s">
        <v>294</v>
      </c>
    </row>
    <row r="50" spans="1:27" s="603" customFormat="1" ht="12.75">
      <c r="A50" s="589"/>
      <c r="B50" s="785"/>
      <c r="C50" s="785"/>
      <c r="D50" s="637"/>
      <c r="E50" s="637"/>
      <c r="F50" s="637"/>
      <c r="G50" s="637"/>
      <c r="H50" s="637"/>
      <c r="I50" s="637"/>
      <c r="J50" s="784"/>
      <c r="K50" s="784"/>
      <c r="L50" s="637"/>
      <c r="M50" s="637"/>
      <c r="N50" s="637"/>
      <c r="O50" s="637"/>
      <c r="P50" s="637"/>
      <c r="Q50" s="637"/>
      <c r="R50" s="637"/>
      <c r="S50" s="637"/>
      <c r="T50" s="637"/>
      <c r="U50" s="637"/>
      <c r="V50" s="637"/>
      <c r="W50" s="637"/>
      <c r="X50" s="637"/>
      <c r="Y50" s="637"/>
      <c r="Z50" s="638"/>
    </row>
    <row r="51" spans="1:27" s="568" customFormat="1">
      <c r="A51" s="590" t="s">
        <v>274</v>
      </c>
      <c r="B51" s="591"/>
      <c r="C51" s="591"/>
      <c r="D51" s="591"/>
      <c r="E51" s="591"/>
      <c r="F51" s="591"/>
      <c r="G51" s="591"/>
      <c r="H51" s="591"/>
      <c r="I51" s="591"/>
      <c r="J51" s="591"/>
      <c r="K51" s="591"/>
      <c r="L51" s="592"/>
      <c r="M51" s="592">
        <f>SUM(M50:M50)</f>
        <v>0</v>
      </c>
      <c r="N51" s="592">
        <f>SUM(N50:N50)</f>
        <v>0</v>
      </c>
      <c r="O51" s="592">
        <f>SUM(O50:O50)</f>
        <v>0</v>
      </c>
      <c r="P51" s="592">
        <f>SUM(P50:P50)</f>
        <v>0</v>
      </c>
      <c r="Q51" s="592">
        <f>SUM(Q50:Q50)</f>
        <v>0</v>
      </c>
      <c r="R51" s="592">
        <f>SUM(R50:R50)</f>
        <v>0</v>
      </c>
      <c r="S51" s="592">
        <f>SUM(S50:S50)</f>
        <v>0</v>
      </c>
      <c r="T51" s="592">
        <f>SUM(T50:T50)</f>
        <v>0</v>
      </c>
      <c r="U51" s="592">
        <f>SUM(U50:U50)</f>
        <v>0</v>
      </c>
      <c r="V51" s="592">
        <f>SUM(V50:V50)</f>
        <v>0</v>
      </c>
      <c r="W51" s="592">
        <f>SUM(W50:W50)</f>
        <v>0</v>
      </c>
      <c r="X51" s="593"/>
      <c r="Y51" s="593"/>
      <c r="Z51" s="594"/>
    </row>
    <row r="52" spans="1:27" s="568" customFormat="1">
      <c r="A52" s="590" t="s">
        <v>281</v>
      </c>
      <c r="B52" s="591"/>
      <c r="C52" s="591"/>
      <c r="D52" s="591"/>
      <c r="E52" s="591"/>
      <c r="F52" s="591"/>
      <c r="G52" s="591"/>
      <c r="H52" s="591"/>
      <c r="I52" s="591"/>
      <c r="J52" s="591"/>
      <c r="K52" s="591"/>
      <c r="L52" s="592"/>
      <c r="M52" s="592">
        <f>SUMIF($Z$50:$Z$50,"industrie",M50:M50)</f>
        <v>0</v>
      </c>
      <c r="N52" s="592">
        <f>SUMIF($Z$50:$Z$50,"industrie",N50:N50)</f>
        <v>0</v>
      </c>
      <c r="O52" s="592">
        <f>SUMIF($Z$50:$Z$50,"industrie",O50:O50)</f>
        <v>0</v>
      </c>
      <c r="P52" s="592">
        <f>SUMIF($Z$50:$Z$50,"industrie",P50:P50)</f>
        <v>0</v>
      </c>
      <c r="Q52" s="592">
        <f>SUMIF($Z$50:$Z$50,"industrie",Q50:Q50)</f>
        <v>0</v>
      </c>
      <c r="R52" s="592">
        <f>SUMIF($Z$50:$Z$50,"industrie",R50:R50)</f>
        <v>0</v>
      </c>
      <c r="S52" s="592">
        <f>SUMIF($Z$50:$Z$50,"industrie",S50:S50)</f>
        <v>0</v>
      </c>
      <c r="T52" s="592">
        <f>SUMIF($Z$50:$Z$50,"industrie",T50:T50)</f>
        <v>0</v>
      </c>
      <c r="U52" s="592">
        <f>SUMIF($Z$50:$Z$50,"industrie",U50:U50)</f>
        <v>0</v>
      </c>
      <c r="V52" s="592">
        <f>SUMIF($Z$50:$Z$50,"industrie",V50:V50)</f>
        <v>0</v>
      </c>
      <c r="W52" s="592">
        <f>SUMIF($Z$50:$Z$50,"industrie",W50:W50)</f>
        <v>0</v>
      </c>
      <c r="X52" s="593"/>
      <c r="Y52" s="593"/>
      <c r="Z52" s="594"/>
    </row>
    <row r="53" spans="1:27" s="568" customFormat="1">
      <c r="A53" s="590" t="s">
        <v>282</v>
      </c>
      <c r="B53" s="591"/>
      <c r="C53" s="591"/>
      <c r="D53" s="591"/>
      <c r="E53" s="591"/>
      <c r="F53" s="591"/>
      <c r="G53" s="591"/>
      <c r="H53" s="591"/>
      <c r="I53" s="591"/>
      <c r="J53" s="591"/>
      <c r="K53" s="591"/>
      <c r="L53" s="592"/>
      <c r="M53" s="592">
        <f>SUMIF($Z$50:$Z$51,"tertiair",M50:M51)</f>
        <v>0</v>
      </c>
      <c r="N53" s="592">
        <f>SUMIF($Z$50:$Z$51,"tertiair",N50:N51)</f>
        <v>0</v>
      </c>
      <c r="O53" s="592">
        <f>SUMIF($Z$50:$Z$51,"tertiair",O50:O51)</f>
        <v>0</v>
      </c>
      <c r="P53" s="592">
        <f>SUMIF($Z$50:$Z$51,"tertiair",P50:P51)</f>
        <v>0</v>
      </c>
      <c r="Q53" s="592">
        <f>SUMIF($Z$50:$Z$51,"tertiair",Q50:Q51)</f>
        <v>0</v>
      </c>
      <c r="R53" s="592">
        <f>SUMIF($Z$50:$Z$51,"tertiair",R50:R51)</f>
        <v>0</v>
      </c>
      <c r="S53" s="592">
        <f>SUMIF($Z$50:$Z$51,"tertiair",S50:S51)</f>
        <v>0</v>
      </c>
      <c r="T53" s="592">
        <f>SUMIF($Z$50:$Z$51,"tertiair",T50:T51)</f>
        <v>0</v>
      </c>
      <c r="U53" s="592">
        <f>SUMIF($Z$50:$Z$51,"tertiair",U50:U51)</f>
        <v>0</v>
      </c>
      <c r="V53" s="592">
        <f>SUMIF($Z$50:$Z$51,"tertiair",V50:V51)</f>
        <v>0</v>
      </c>
      <c r="W53" s="592">
        <f>SUMIF($Z$50:$Z$51,"tertiair",W50:W51)</f>
        <v>0</v>
      </c>
      <c r="X53" s="593"/>
      <c r="Y53" s="593"/>
      <c r="Z53" s="594"/>
    </row>
    <row r="54" spans="1:27" s="568" customFormat="1" ht="15.75" thickBot="1">
      <c r="A54" s="595" t="s">
        <v>283</v>
      </c>
      <c r="B54" s="596"/>
      <c r="C54" s="596"/>
      <c r="D54" s="596"/>
      <c r="E54" s="596"/>
      <c r="F54" s="596"/>
      <c r="G54" s="596"/>
      <c r="H54" s="596"/>
      <c r="I54" s="596"/>
      <c r="J54" s="596"/>
      <c r="K54" s="596"/>
      <c r="L54" s="597"/>
      <c r="M54" s="597">
        <f>SUMIF($Z$50:$Z$52,"landbouw",M50:M52)</f>
        <v>0</v>
      </c>
      <c r="N54" s="597">
        <f>SUMIF($Z$50:$Z$52,"landbouw",N50:N52)</f>
        <v>0</v>
      </c>
      <c r="O54" s="597">
        <f>SUMIF($Z$50:$Z$52,"landbouw",O50:O52)</f>
        <v>0</v>
      </c>
      <c r="P54" s="597">
        <f>SUMIF($Z$50:$Z$52,"landbouw",P50:P52)</f>
        <v>0</v>
      </c>
      <c r="Q54" s="597">
        <f>SUMIF($Z$50:$Z$52,"landbouw",Q50:Q52)</f>
        <v>0</v>
      </c>
      <c r="R54" s="597">
        <f>SUMIF($Z$50:$Z$52,"landbouw",R50:R52)</f>
        <v>0</v>
      </c>
      <c r="S54" s="597">
        <f>SUMIF($Z$50:$Z$52,"landbouw",S50:S52)</f>
        <v>0</v>
      </c>
      <c r="T54" s="597">
        <f>SUMIF($Z$50:$Z$52,"landbouw",T50:T52)</f>
        <v>0</v>
      </c>
      <c r="U54" s="597">
        <f>SUMIF($Z$50:$Z$52,"landbouw",U50:U52)</f>
        <v>0</v>
      </c>
      <c r="V54" s="597">
        <f>SUMIF($Z$50:$Z$52,"landbouw",V50:V52)</f>
        <v>0</v>
      </c>
      <c r="W54" s="597">
        <f>SUMIF($Z$50:$Z$52,"landbouw",W50:W52)</f>
        <v>0</v>
      </c>
      <c r="X54" s="598"/>
      <c r="Y54" s="598"/>
      <c r="Z54" s="599"/>
    </row>
    <row r="55" spans="1:27" s="604" customFormat="1">
      <c r="A55" s="600"/>
      <c r="B55" s="584"/>
      <c r="C55" s="584"/>
      <c r="D55" s="584"/>
      <c r="E55" s="584"/>
      <c r="F55" s="584"/>
      <c r="G55" s="584"/>
      <c r="H55" s="584"/>
      <c r="I55" s="584"/>
      <c r="J55" s="584"/>
      <c r="K55" s="584"/>
      <c r="L55" s="584"/>
      <c r="M55" s="584"/>
      <c r="N55" s="584"/>
      <c r="O55" s="584"/>
      <c r="P55" s="584"/>
      <c r="Q55" s="584"/>
      <c r="R55" s="584"/>
      <c r="S55" s="584"/>
      <c r="T55" s="584"/>
      <c r="U55" s="584"/>
      <c r="V55" s="584"/>
      <c r="W55" s="584"/>
      <c r="X55" s="584"/>
      <c r="Y55" s="584"/>
    </row>
    <row r="56" spans="1:27" s="604" customFormat="1" ht="15.75" thickBot="1">
      <c r="A56" s="600"/>
      <c r="B56" s="584"/>
      <c r="C56" s="584"/>
      <c r="D56" s="584"/>
      <c r="E56" s="584"/>
      <c r="F56" s="584"/>
      <c r="G56" s="584"/>
      <c r="H56" s="584"/>
      <c r="I56" s="584"/>
      <c r="J56" s="584"/>
      <c r="K56" s="584"/>
      <c r="L56" s="584"/>
      <c r="M56" s="584"/>
      <c r="N56" s="584"/>
      <c r="O56" s="584"/>
      <c r="P56" s="584"/>
      <c r="Q56" s="584"/>
      <c r="R56" s="584"/>
      <c r="S56" s="584"/>
      <c r="T56" s="584"/>
      <c r="U56" s="584"/>
      <c r="V56" s="584"/>
      <c r="W56" s="584"/>
      <c r="X56" s="584"/>
      <c r="Y56" s="584"/>
      <c r="Z56" s="584"/>
      <c r="AA56" s="584"/>
    </row>
    <row r="57" spans="1:27">
      <c r="A57" s="605" t="s">
        <v>276</v>
      </c>
      <c r="B57" s="606"/>
      <c r="C57" s="606"/>
      <c r="D57" s="606"/>
      <c r="E57" s="606"/>
      <c r="F57" s="606"/>
      <c r="G57" s="606"/>
      <c r="H57" s="606"/>
      <c r="I57" s="607"/>
      <c r="J57" s="608"/>
      <c r="K57" s="608"/>
      <c r="L57" s="609"/>
      <c r="M57" s="609"/>
      <c r="N57" s="609"/>
      <c r="O57" s="609"/>
      <c r="P57" s="609"/>
    </row>
    <row r="58" spans="1:27">
      <c r="A58" s="611"/>
      <c r="B58" s="601"/>
      <c r="C58" s="601"/>
      <c r="D58" s="601"/>
      <c r="E58" s="601"/>
      <c r="F58" s="601"/>
      <c r="G58" s="601"/>
      <c r="H58" s="601"/>
      <c r="I58" s="612"/>
      <c r="J58" s="601"/>
      <c r="K58" s="601"/>
      <c r="L58" s="609"/>
      <c r="M58" s="609"/>
      <c r="N58" s="609"/>
      <c r="O58" s="609"/>
      <c r="P58" s="609"/>
    </row>
    <row r="59" spans="1:27">
      <c r="A59" s="613"/>
      <c r="B59" s="614" t="s">
        <v>277</v>
      </c>
      <c r="C59" s="614" t="s">
        <v>278</v>
      </c>
      <c r="D59" s="614"/>
      <c r="E59" s="614"/>
      <c r="F59" s="614"/>
      <c r="G59" s="614"/>
      <c r="H59" s="614"/>
      <c r="I59" s="615"/>
      <c r="J59" s="614"/>
      <c r="K59" s="614"/>
      <c r="L59" s="614"/>
      <c r="M59" s="614"/>
      <c r="N59" s="614"/>
      <c r="O59" s="614"/>
      <c r="P59" s="609"/>
    </row>
    <row r="60" spans="1:27">
      <c r="A60" s="611" t="s">
        <v>274</v>
      </c>
      <c r="B60" s="616">
        <f>IF(ISERROR(O44/(O44+N44)),0,O44/(O44+N44))</f>
        <v>0.58823529411764708</v>
      </c>
      <c r="C60" s="617">
        <f>IF(ISERROR(N44/(O44+N44)),0,N44/(N44+O44))</f>
        <v>0.41176470588235287</v>
      </c>
      <c r="D60" s="584"/>
      <c r="E60" s="584"/>
      <c r="F60" s="584"/>
      <c r="G60" s="584"/>
      <c r="H60" s="584"/>
      <c r="I60" s="618"/>
      <c r="J60" s="584"/>
      <c r="K60" s="584"/>
      <c r="L60" s="619"/>
      <c r="M60" s="619"/>
      <c r="N60" s="619"/>
      <c r="O60" s="619"/>
      <c r="P60" s="609"/>
    </row>
    <row r="61" spans="1:27">
      <c r="A61" s="611"/>
      <c r="B61" s="620"/>
      <c r="C61" s="620"/>
      <c r="D61" s="620"/>
      <c r="E61" s="620"/>
      <c r="F61" s="620"/>
      <c r="G61" s="620"/>
      <c r="H61" s="620"/>
      <c r="I61" s="621"/>
      <c r="J61" s="620"/>
      <c r="K61" s="620"/>
      <c r="L61" s="622"/>
      <c r="M61" s="622"/>
      <c r="N61" s="622"/>
      <c r="O61" s="622"/>
      <c r="P61" s="609"/>
    </row>
    <row r="62" spans="1:27" ht="30">
      <c r="A62" s="623"/>
      <c r="B62" s="624" t="s">
        <v>517</v>
      </c>
      <c r="C62" s="624" t="s">
        <v>102</v>
      </c>
      <c r="D62" s="624" t="s">
        <v>103</v>
      </c>
      <c r="E62" s="624" t="s">
        <v>104</v>
      </c>
      <c r="F62" s="624" t="s">
        <v>105</v>
      </c>
      <c r="G62" s="624" t="s">
        <v>106</v>
      </c>
      <c r="H62" s="624" t="s">
        <v>107</v>
      </c>
      <c r="I62" s="625" t="s">
        <v>108</v>
      </c>
      <c r="J62" s="614"/>
      <c r="K62" s="614"/>
      <c r="L62" s="622"/>
      <c r="M62" s="622"/>
      <c r="N62" s="622"/>
      <c r="O62" s="609"/>
      <c r="P62" s="609"/>
    </row>
    <row r="63" spans="1:27">
      <c r="A63" s="613" t="s">
        <v>279</v>
      </c>
      <c r="B63" s="626">
        <f t="shared" ref="B63:I63" si="2">$C$60*P44</f>
        <v>100326.3882352941</v>
      </c>
      <c r="C63" s="626">
        <f t="shared" si="2"/>
        <v>49678.411764705881</v>
      </c>
      <c r="D63" s="626">
        <f t="shared" si="2"/>
        <v>0</v>
      </c>
      <c r="E63" s="626">
        <f t="shared" si="2"/>
        <v>0</v>
      </c>
      <c r="F63" s="626">
        <f t="shared" si="2"/>
        <v>0</v>
      </c>
      <c r="G63" s="626">
        <f t="shared" si="2"/>
        <v>0</v>
      </c>
      <c r="H63" s="626">
        <f t="shared" si="2"/>
        <v>0</v>
      </c>
      <c r="I63" s="627">
        <f t="shared" si="2"/>
        <v>0</v>
      </c>
      <c r="J63" s="584"/>
      <c r="K63" s="584"/>
      <c r="L63" s="622"/>
      <c r="M63" s="622"/>
      <c r="N63" s="622"/>
      <c r="O63" s="609"/>
      <c r="P63" s="609"/>
    </row>
    <row r="64" spans="1:27" ht="15.75" thickBot="1">
      <c r="A64" s="628" t="s">
        <v>280</v>
      </c>
      <c r="B64" s="629">
        <f t="shared" ref="B64:I64" si="3">$B$60*P44</f>
        <v>143323.4117647059</v>
      </c>
      <c r="C64" s="629">
        <f t="shared" si="3"/>
        <v>70969.159663865561</v>
      </c>
      <c r="D64" s="629">
        <f t="shared" si="3"/>
        <v>0</v>
      </c>
      <c r="E64" s="629">
        <f t="shared" si="3"/>
        <v>0</v>
      </c>
      <c r="F64" s="629">
        <f t="shared" si="3"/>
        <v>0</v>
      </c>
      <c r="G64" s="629">
        <f t="shared" si="3"/>
        <v>0</v>
      </c>
      <c r="H64" s="629">
        <f t="shared" si="3"/>
        <v>0</v>
      </c>
      <c r="I64" s="630">
        <f t="shared" si="3"/>
        <v>0</v>
      </c>
      <c r="J64" s="584"/>
      <c r="K64" s="584"/>
      <c r="L64" s="622"/>
      <c r="M64" s="622"/>
      <c r="N64" s="622"/>
      <c r="O64" s="609"/>
      <c r="P64" s="609"/>
    </row>
    <row r="65" spans="10:14">
      <c r="J65" s="564"/>
      <c r="K65" s="564"/>
      <c r="L65" s="564"/>
      <c r="M65" s="564"/>
      <c r="N65" s="564"/>
    </row>
    <row r="66" spans="10:14">
      <c r="J66" s="564"/>
      <c r="K66" s="564"/>
      <c r="L66" s="564"/>
      <c r="M66" s="564"/>
      <c r="N66"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2021-06-29T15:32:17Z</dcterms:modified>
</cp:coreProperties>
</file>