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<sst xmlns="http://schemas.openxmlformats.org/spreadsheetml/2006/main" count="2484" uniqueCount="906">
  <si>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</si>
  <si>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</si>
  <si>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</si>
  <si>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</si>
  <si>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</si>
  <si>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</si>
  <si>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</si>
  <si>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</si>
  <si>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</si>
  <si>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</si>
  <si>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</si>
  <si>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</si>
  <si>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</si>
  <si>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</si>
  <si>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</si>
  <si>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</si>
  <si>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</si>
  <si>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</si>
  <si>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</si>
  <si>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</si>
  <si>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</si>
  <si>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</si>
  <si>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</si>
  <si>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</si>
  <si>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</si>
  <si>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</si>
  <si>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</si>
  <si>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</si>
  <si>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</si>
  <si>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</si>
  <si>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</si>
  <si>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</si>
  <si>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</si>
  <si>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</si>
  <si>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</si>
  <si>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</si>
  <si>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</si>
  <si>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</si>
  <si>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</si>
  <si>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</si>
  <si>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</si>
  <si>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</si>
  <si>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</si>
  <si>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</si>
  <si>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</si>
  <si>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</si>
  <si>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</si>
  <si>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</si>
  <si>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</si>
  <si>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</si>
  <si>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</si>
  <si>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</si>
  <si>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</si>
  <si>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</si>
  <si>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</si>
  <si>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</si>
  <si>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</si>
  <si>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</si>
  <si>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</si>
  <si>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</si>
  <si>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</si>
  <si>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</si>
  <si>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</si>
  <si>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</si>
  <si>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</si>
  <si>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</si>
  <si>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</si>
  <si>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</si>
  <si>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</si>
  <si>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</si>
  <si>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</si>
  <si>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</si>
  <si>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</si>
  <si>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</si>
  <si>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</si>
  <si>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</si>
  <si>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</si>
  <si>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</si>
  <si>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</si>
  <si>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</si>
  <si>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</si>
  <si>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</si>
  <si>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</si>
  <si>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</si>
  <si>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</si>
  <si>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</si>
  <si>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</si>
  <si>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</si>
  <si>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</si>
  <si>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</si>
  <si>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</si>
  <si>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</si>
  <si>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</si>
  <si>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</si>
  <si>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</si>
  <si>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</si>
  <si>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</si>
  <si>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</si>
  <si>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</si>
  <si>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</si>
  <si>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</si>
  <si>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</si>
  <si>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</si>
  <si>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</si>
  <si>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</si>
  <si>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</si>
  <si>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</si>
  <si>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</si>
  <si>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</si>
  <si>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</si>
  <si>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</si>
  <si>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</si>
  <si>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</si>
  <si>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</si>
  <si>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</si>
  <si>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</si>
  <si>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</si>
  <si>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</si>
  <si>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</si>
  <si>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</si>
  <si>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</si>
  <si>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</si>
  <si>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</si>
  <si>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</si>
  <si>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</si>
  <si>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</si>
  <si>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</si>
  <si>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</si>
  <si>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</si>
  <si>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</si>
  <si>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</si>
  <si>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</si>
  <si>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</si>
  <si>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</si>
  <si>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</si>
  <si>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</si>
  <si>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</si>
  <si>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</si>
  <si>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</si>
  <si>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</si>
  <si>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</si>
  <si>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</si>
  <si>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</si>
  <si>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</si>
  <si>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</si>
  <si>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</si>
  <si>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</si>
  <si>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</si>
  <si>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</si>
  <si>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</si>
  <si>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</si>
  <si>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</si>
  <si>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</si>
  <si>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</si>
  <si>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</si>
  <si>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</si>
  <si>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</si>
  <si>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</si>
  <si>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</si>
  <si>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</si>
  <si>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</si>
  <si>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</si>
  <si>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</si>
  <si>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</si>
  <si>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</si>
  <si>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</si>
  <si>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</si>
  <si>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</si>
  <si>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</si>
  <si>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</si>
  <si>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</si>
  <si>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</si>
  <si>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</si>
  <si>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</si>
  <si>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</si>
  <si>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</si>
  <si>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</si>
  <si>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</si>
  <si>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</si>
  <si>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</si>
  <si>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</si>
  <si>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</si>
  <si>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</si>
  <si>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</si>
  <si>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</si>
  <si>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</si>
  <si>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</si>
  <si>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</si>
  <si>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</si>
  <si>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</si>
  <si>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</si>
  <si>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</si>
  <si>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</si>
  <si>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</si>
  <si>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</si>
  <si>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</si>
  <si>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</si>
  <si>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</si>
  <si>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</si>
  <si>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</si>
  <si>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</si>
  <si>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</si>
  <si>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</si>
  <si>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</si>
  <si>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</si>
  <si>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</si>
  <si>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</si>
  <si>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</si>
  <si>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</si>
  <si>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</si>
  <si>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</si>
  <si>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</si>
  <si>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</si>
  <si>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</si>
  <si>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</si>
  <si>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</si>
  <si>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</si>
  <si>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</si>
  <si>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</si>
  <si>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</si>
  <si>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</si>
  <si>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</si>
  <si>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</si>
  <si>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</si>
  <si>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</si>
  <si>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</si>
  <si>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</si>
  <si>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</si>
  <si>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</si>
  <si>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</si>
  <si>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</si>
  <si>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</si>
  <si>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</si>
  <si>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</si>
  <si>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</si>
  <si>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</si>
  <si>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</si>
  <si>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</si>
  <si>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</si>
  <si>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</si>
  <si>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</si>
  <si>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</si>
  <si>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</si>
  <si>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</si>
  <si>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</si>
  <si>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</si>
  <si>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</si>
  <si>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</si>
  <si>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</si>
  <si>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</si>
  <si>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</si>
  <si>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</si>
  <si>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</si>
  <si>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</si>
  <si>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</si>
  <si>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</si>
  <si>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</si>
  <si>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</si>
  <si>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</si>
  <si>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</si>
  <si>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</si>
  <si>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</si>
  <si>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</si>
  <si>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</si>
  <si>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</si>
  <si>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</si>
  <si>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</si>
  <si>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</si>
  <si>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</si>
  <si>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</si>
  <si>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</si>
  <si>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</si>
  <si>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</si>
  <si>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</si>
  <si>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</si>
  <si>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</si>
  <si>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</si>
  <si>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</si>
  <si>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</si>
  <si>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</si>
  <si>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</si>
  <si>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</si>
  <si>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</si>
  <si>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</si>
  <si>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</si>
  <si>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</si>
  <si>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</si>
  <si>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</si>
  <si>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</si>
  <si>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</si>
  <si>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</si>
  <si>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</si>
  <si>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</si>
  <si>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</si>
  <si>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</si>
  <si>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</si>
  <si>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</si>
  <si>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</si>
  <si>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</si>
  <si>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</si>
  <si>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</si>
  <si>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</si>
  <si>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</si>
  <si>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</si>
  <si>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</si>
  <si>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</si>
  <si>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</si>
  <si>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</si>
  <si>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</si>
  <si>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</si>
  <si>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</si>
  <si>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</si>
  <si>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</si>
  <si>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</si>
  <si>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</si>
  <si>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</si>
  <si>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</si>
  <si>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</si>
  <si>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</si>
  <si>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</si>
  <si>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</si>
  <si>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</si>
  <si>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</si>
  <si>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</si>
  <si>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</si>
  <si>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</si>
  <si>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</si>
  <si>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</si>
  <si>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</si>
  <si>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</si>
  <si>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</si>
  <si>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</si>
  <si>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</si>
  <si>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</si>
  <si>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</si>
  <si>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</si>
  <si>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</si>
  <si>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</si>
  <si>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</si>
  <si>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</si>
  <si>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</si>
  <si>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</si>
  <si>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</si>
  <si>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</si>
  <si>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</si>
  <si>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</si>
  <si>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</si>
  <si>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</si>
  <si>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</si>
  <si>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</si>
  <si>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</si>
  <si>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</si>
  <si>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</si>
  <si>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</si>
  <si>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</si>
  <si>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</si>
  <si>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</si>
  <si>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</si>
  <si>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</si>
  <si>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</si>
  <si>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</si>
  <si>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</si>
  <si>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</si>
  <si>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</si>
  <si>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</si>
  <si>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</si>
  <si>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</si>
  <si>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</si>
  <si>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</si>
  <si>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</si>
  <si>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</si>
  <si>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</si>
  <si>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</si>
  <si>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</si>
  <si>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</si>
  <si>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</si>
  <si>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</si>
  <si>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</si>
  <si>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</si>
  <si>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</si>
  <si>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</si>
  <si>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</si>
  <si>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</si>
  <si>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</si>
  <si>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</si>
  <si>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</si>
  <si>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</si>
  <si>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</si>
  <si>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</si>
  <si>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</si>
  <si>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</si>
  <si>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</si>
  <si>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</si>
  <si>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</si>
  <si>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</si>
  <si>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</si>
  <si>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</si>
  <si>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</si>
  <si>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</si>
  <si>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</si>
  <si>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</si>
  <si>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</si>
  <si>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</si>
  <si>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</si>
  <si>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</si>
  <si>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</si>
  <si>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</si>
  <si>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</si>
  <si>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</si>
  <si>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</si>
  <si>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</si>
  <si>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</si>
  <si>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</si>
  <si>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</si>
  <si>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</si>
  <si>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</si>
  <si>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</si>
  <si>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</si>
  <si>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</si>
  <si>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</si>
  <si>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</si>
  <si>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</si>
  <si>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</si>
  <si>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</si>
  <si>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</si>
  <si>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</si>
  <si>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</si>
  <si>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</si>
  <si>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</si>
  <si>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</si>
  <si>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</si>
  <si>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</si>
  <si>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</si>
  <si>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</si>
  <si>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</si>
  <si>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</si>
  <si>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</si>
  <si>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</si>
  <si>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</si>
  <si>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</si>
  <si>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</si>
  <si>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</si>
  <si>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</si>
  <si>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</si>
  <si>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</si>
  <si>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</si>
  <si>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</si>
  <si>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</si>
  <si>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</si>
  <si>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</si>
  <si>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</si>
  <si>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</si>
  <si>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</si>
  <si>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</si>
  <si>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</si>
  <si>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</si>
  <si>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</si>
  <si>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</si>
  <si>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</si>
  <si>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</si>
  <si>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</si>
  <si>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</si>
  <si>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</si>
  <si>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</si>
  <si>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</si>
  <si>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</si>
  <si>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</si>
  <si>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</si>
  <si>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</si>
  <si>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</si>
  <si>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</si>
  <si>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</si>
  <si>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</si>
  <si>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</si>
  <si>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</si>
  <si>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</si>
  <si>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</si>
  <si>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</si>
  <si>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</si>
  <si>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</si>
  <si>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</si>
  <si>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</si>
  <si>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</si>
  <si>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</si>
  <si>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</si>
  <si>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</si>
  <si>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</si>
  <si>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</si>
  <si>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</si>
  <si>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</si>
  <si>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</si>
  <si>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</si>
  <si>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</si>
  <si>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</si>
  <si>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</si>
  <si>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</si>
  <si>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</si>
  <si>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</si>
  <si>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</si>
  <si>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</si>
  <si>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</si>
  <si>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</si>
  <si>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</si>
  <si>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</si>
  <si>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</si>
  <si>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</si>
  <si>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</si>
  <si>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</si>
  <si>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</si>
  <si>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</si>
  <si>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</si>
  <si>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</si>
  <si>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</si>
  <si>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</si>
  <si>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</si>
  <si>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</si>
  <si>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</si>
  <si>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</si>
  <si>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</si>
  <si>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</si>
  <si>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</si>
  <si>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</si>
  <si>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</si>
  <si>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</si>
  <si>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</si>
  <si>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</si>
  <si>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</si>
  <si>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</si>
  <si>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</si>
  <si>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</si>
  <si>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</si>
  <si>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</si>
  <si>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</si>
  <si>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</si>
  <si>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</si>
  <si>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</si>
  <si>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</si>
  <si>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</si>
  <si>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</si>
  <si>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</si>
  <si>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</si>
  <si>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</si>
  <si>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</si>
  <si>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</si>
  <si>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</si>
  <si>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</si>
  <si>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</si>
  <si>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</si>
  <si>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</si>
  <si>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</si>
  <si>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</si>
  <si>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</si>
  <si>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</si>
  <si>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</si>
  <si>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</si>
  <si>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</si>
  <si>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</si>
  <si>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</si>
  <si>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</si>
  <si>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</si>
  <si>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</si>
  <si>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</si>
  <si>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</si>
  <si>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</si>
  <si>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</si>
  <si>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</si>
  <si>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</si>
  <si>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</si>
  <si>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</si>
  <si>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</si>
  <si>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</si>
  <si>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</si>
  <si>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</si>
  <si>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</si>
  <si>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</si>
  <si>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</si>
  <si>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</si>
  <si>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</si>
  <si>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</si>
  <si>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</si>
  <si>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</si>
  <si>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</si>
  <si>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</si>
  <si>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</si>
  <si>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</si>
  <si>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</si>
  <si>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</si>
  <si>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</si>
  <si>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</si>
  <si>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</si>
  <si>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</si>
  <si>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</si>
  <si>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</si>
  <si>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</si>
  <si>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</si>
  <si>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</si>
  <si>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</si>
  <si>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</si>
  <si>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</si>
  <si>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</si>
  <si>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</si>
  <si>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</si>
  <si>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</si>
  <si>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</si>
  <si>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</si>
  <si>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</si>
  <si>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</si>
  <si>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</si>
  <si>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</si>
  <si>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</si>
  <si>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</si>
  <si>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</si>
  <si>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</si>
  <si>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</si>
  <si>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</si>
  <si>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</si>
  <si>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</si>
  <si>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</si>
  <si>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</si>
  <si>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</si>
  <si>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</si>
  <si>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</si>
  <si>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</si>
  <si>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</si>
  <si>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</si>
  <si>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</si>
  <si>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</si>
  <si>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</si>
  <si>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</si>
  <si>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</si>
  <si>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</si>
  <si>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</si>
  <si>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</si>
  <si>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</si>
  <si>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</si>
  <si>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</si>
  <si>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</si>
  <si>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</si>
  <si>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</si>
  <si>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</si>
  <si>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</si>
  <si>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</si>
  <si>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</si>
  <si>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</si>
  <si>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</si>
  <si>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</si>
  <si>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</si>
  <si>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</si>
  <si>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</si>
  <si>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</si>
  <si>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</si>
  <si>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</si>
  <si>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</si>
  <si>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</si>
  <si>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</si>
  <si>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</si>
  <si>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</si>
  <si>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</si>
  <si>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</si>
  <si>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</si>
  <si>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</si>
  <si>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</si>
  <si>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</si>
  <si>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</si>
  <si>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</si>
  <si>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</si>
  <si>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</si>
  <si>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</si>
  <si>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</si>
  <si>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</si>
  <si>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</si>
  <si>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</si>
  <si>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</si>
  <si>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</si>
  <si>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</si>
  <si>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</si>
  <si>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</si>
  <si>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</si>
  <si>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</si>
  <si>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</si>
  <si>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</si>
  <si>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</si>
  <si>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</si>
  <si>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</si>
  <si>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</si>
  <si>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</si>
  <si>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</si>
  <si>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</si>
  <si>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</si>
  <si>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</si>
  <si>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</si>
  <si>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</si>
  <si>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</si>
  <si>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</si>
  <si>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</si>
  <si>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</si>
  <si>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</si>
  <si>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</si>
  <si>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</si>
  <si>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</si>
  <si>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</si>
  <si>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</si>
  <si>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</si>
  <si>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</si>
  <si>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</si>
  <si>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</si>
  <si>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</si>
  <si>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</si>
  <si>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</si>
  <si>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</si>
  <si>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</si>
  <si>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</si>
  <si>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</si>
  <si>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</si>
  <si>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</si>
  <si>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</si>
  <si>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</si>
  <si>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</si>
  <si>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</si>
  <si>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</si>
  <si>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</si>
  <si>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</si>
  <si>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</si>
  <si>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</si>
  <si>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</si>
  <si>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</si>
  <si>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</si>
  <si>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</si>
  <si>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</si>
  <si>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</si>
  <si>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</si>
  <si>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</si>
  <si>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</si>
  <si>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</si>
  <si>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</si>
  <si>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</si>
  <si>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</si>
  <si>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</si>
  <si>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</si>
  <si>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</si>
  <si>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</si>
  <si>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</si>
  <si>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</si>
  <si>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</si>
  <si>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</si>
  <si>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</si>
  <si>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</si>
  <si>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</si>
  <si>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</si>
  <si>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</si>
  <si>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</si>
  <si>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</si>
  <si>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</si>
  <si>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</si>
  <si>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</si>
  <si>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</si>
  <si>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</si>
  <si>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</si>
  <si>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</si>
  <si>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</si>
  <si>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</si>
  <si>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</si>
  <si>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</si>
  <si>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</si>
  <si>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</si>
  <si>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</si>
  <si>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</si>
  <si>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</si>
  <si>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</si>
  <si>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</si>
  <si>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</si>
  <si>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</si>
  <si>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</si>
  <si>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</si>
  <si>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</si>
  <si>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</si>
  <si>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</si>
  <si>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</si>
  <si>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</si>
  <si>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</si>
  <si>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</si>
  <si>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</si>
  <si>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</si>
  <si>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</si>
  <si>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</si>
  <si>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</si>
  <si>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</si>
  <si>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</si>
  <si>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</si>
  <si>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</si>
  <si>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</si>
  <si>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</si>
  <si>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</si>
  <si>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</si>
  <si>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</si>
  <si>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</si>
  <si>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</si>
  <si>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</si>
  <si>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</si>
  <si>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</si>
  <si>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</si>
  <si>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</si>
  <si>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</si>
  <si>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</si>
  <si>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</si>
  <si>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</si>
  <si>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</si>
  <si>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</si>
  <si>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</si>
  <si>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</si>
  <si>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</si>
  <si>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</si>
  <si>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</si>
  <si>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</si>
  <si>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</si>
  <si>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</si>
  <si>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</si>
  <si>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</si>
  <si>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</si>
  <si>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</si>
  <si>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</si>
  <si>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</si>
  <si>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</si>
  <si>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</si>
  <si>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</si>
  <si>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</si>
  <si>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</si>
  <si>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</si>
  <si>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</si>
  <si>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</si>
  <si>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</si>
  <si>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</si>
  <si>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</si>
  <si>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</si>
  <si>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</si>
  <si>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</si>
  <si>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</si>
  <si>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</si>
  <si>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</si>
  <si>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</si>
  <si>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</si>
  <si>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</si>
  <si>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</si>
  <si>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</si>
  <si>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</si>
  <si>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</si>
  <si>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</si>
  <si>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</si>
  <si>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</si>
  <si>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</si>
  <si>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</si>
  <si>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</si>
  <si>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</si>
  <si>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</si>
  <si>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</si>
  <si>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</si>
  <si>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</si>
  <si>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</si>
  <si>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</si>
  <si>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</si>
  <si>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</si>
  <si>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</si>
  <si>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</si>
  <si>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</si>
  <si>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</si>
  <si>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</si>
  <si>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</si>
  <si>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</si>
  <si>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</si>
  <si>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</si>
  <si>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</si>
  <si>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</si>
  <si>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</si>
  <si>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</si>
  <si>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</si>
  <si>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</si>
  <si>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</si>
  <si>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</si>
  <si>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</si>
  <si>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</si>
  <si>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</si>
  <si>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</si>
  <si>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</si>
  <si>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</si>
  <si>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</si>
  <si>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</si>
  <si>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</si>
  <si>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</si>
  <si>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</si>
  <si>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</si>
  <si>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</si>
  <si>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</si>
  <si>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</si>
  <si>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</si>
  <si>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</si>
  <si>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</si>
  <si>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</si>
  <si>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</si>
  <si>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</si>
  <si>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</si>
  <si>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</si>
  <si>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</si>
  <si>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</si>
  <si>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44072</t>
  </si>
  <si>
    <t>WAARSCHOOT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</si>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</sst>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69167.517609034388</c:v>
                </c:pt>
                <c:pt idx="1">
                  <c:v>14924.441563337219</c:v>
                </c:pt>
                <c:pt idx="2">
                  <c:v>649.79399999999998</c:v>
                </c:pt>
                <c:pt idx="3">
                  <c:v>6872.365998338897</c:v>
                </c:pt>
                <c:pt idx="4">
                  <c:v>35628.193767868339</c:v>
                </c:pt>
                <c:pt idx="5">
                  <c:v>48626.77993686487</c:v>
                </c:pt>
                <c:pt idx="6">
                  <c:v>680.1940965844899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69167.517609034388</c:v>
                </c:pt>
                <c:pt idx="1">
                  <c:v>14924.441563337219</c:v>
                </c:pt>
                <c:pt idx="2">
                  <c:v>649.79399999999998</c:v>
                </c:pt>
                <c:pt idx="3">
                  <c:v>6872.365998338897</c:v>
                </c:pt>
                <c:pt idx="4">
                  <c:v>35628.193767868339</c:v>
                </c:pt>
                <c:pt idx="5">
                  <c:v>48626.77993686487</c:v>
                </c:pt>
                <c:pt idx="6">
                  <c:v>680.1940965844899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14301.49075763049</c:v>
                </c:pt>
                <c:pt idx="1">
                  <c:v>3017.434157580396</c:v>
                </c:pt>
                <c:pt idx="2">
                  <c:v>135.41583156757696</c:v>
                </c:pt>
                <c:pt idx="3">
                  <c:v>1778.7003925593674</c:v>
                </c:pt>
                <c:pt idx="4">
                  <c:v>7265.7189475038558</c:v>
                </c:pt>
                <c:pt idx="5">
                  <c:v>12086.653739392294</c:v>
                </c:pt>
                <c:pt idx="6">
                  <c:v>171.50062548973531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14301.49075763049</c:v>
                </c:pt>
                <c:pt idx="1">
                  <c:v>3017.434157580396</c:v>
                </c:pt>
                <c:pt idx="2">
                  <c:v>135.41583156757696</c:v>
                </c:pt>
                <c:pt idx="3">
                  <c:v>1778.7003925593674</c:v>
                </c:pt>
                <c:pt idx="4">
                  <c:v>7265.7189475038558</c:v>
                </c:pt>
                <c:pt idx="5">
                  <c:v>12086.653739392294</c:v>
                </c:pt>
                <c:pt idx="6">
                  <c:v>171.50062548973531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44072</v>
      </c>
      <c r="B6" s="386"/>
      <c r="C6" s="387"/>
    </row>
    <row r="7" spans="1:7" s="384" customFormat="1" ht="15.75" customHeight="1">
      <c r="A7" s="388" t="str">
        <f>txtMunicipality</f>
        <v>WAARSCHOOT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7153.8975569999993</v>
      </c>
      <c r="D10" s="681">
        <f ca="1">tertiair!C16</f>
        <v>0</v>
      </c>
      <c r="E10" s="681">
        <f ca="1">tertiair!D16</f>
        <v>7154.2212686340008</v>
      </c>
      <c r="F10" s="681">
        <f>tertiair!E16</f>
        <v>97.733155620060685</v>
      </c>
      <c r="G10" s="681">
        <f ca="1">tertiair!F16</f>
        <v>729.02395703544073</v>
      </c>
      <c r="H10" s="681">
        <f>tertiair!G16</f>
        <v>0</v>
      </c>
      <c r="I10" s="681">
        <f>tertiair!H16</f>
        <v>0</v>
      </c>
      <c r="J10" s="681">
        <f>tertiair!I16</f>
        <v>0</v>
      </c>
      <c r="K10" s="681">
        <f>tertiair!J16</f>
        <v>1.0873589765106852E-2</v>
      </c>
      <c r="L10" s="681">
        <f>tertiair!K16</f>
        <v>0</v>
      </c>
      <c r="M10" s="681">
        <f ca="1">tertiair!L16</f>
        <v>0</v>
      </c>
      <c r="N10" s="681">
        <f>tertiair!M16</f>
        <v>0</v>
      </c>
      <c r="O10" s="681">
        <f ca="1">tertiair!N16</f>
        <v>429.55422992626904</v>
      </c>
      <c r="P10" s="681">
        <f>tertiair!O16</f>
        <v>9.7945215316823084</v>
      </c>
      <c r="Q10" s="682">
        <f>tertiair!P16</f>
        <v>0</v>
      </c>
      <c r="R10" s="684">
        <f ca="1">SUM(C10:Q10)</f>
        <v>15574.235563337217</v>
      </c>
      <c r="S10" s="67"/>
    </row>
    <row r="11" spans="1:19" s="444" customFormat="1">
      <c r="A11" s="802" t="s">
        <v>219</v>
      </c>
      <c r="B11" s="807"/>
      <c r="C11" s="681">
        <f>huishoudens!B8</f>
        <v>15298.589843978139</v>
      </c>
      <c r="D11" s="681">
        <f>huishoudens!C8</f>
        <v>0</v>
      </c>
      <c r="E11" s="681">
        <f>huishoudens!D8</f>
        <v>28255.601577280002</v>
      </c>
      <c r="F11" s="681">
        <f>huishoudens!E8</f>
        <v>1186.9633174887431</v>
      </c>
      <c r="G11" s="681">
        <f>huishoudens!F8</f>
        <v>19135.430670147147</v>
      </c>
      <c r="H11" s="681">
        <f>huishoudens!G8</f>
        <v>0</v>
      </c>
      <c r="I11" s="681">
        <f>huishoudens!H8</f>
        <v>0</v>
      </c>
      <c r="J11" s="681">
        <f>huishoudens!I8</f>
        <v>0</v>
      </c>
      <c r="K11" s="681">
        <f>huishoudens!J8</f>
        <v>76.44520188136471</v>
      </c>
      <c r="L11" s="681">
        <f>huishoudens!K8</f>
        <v>0</v>
      </c>
      <c r="M11" s="681">
        <f>huishoudens!L8</f>
        <v>0</v>
      </c>
      <c r="N11" s="681">
        <f>huishoudens!M8</f>
        <v>0</v>
      </c>
      <c r="O11" s="681">
        <f>huishoudens!N8</f>
        <v>4726.9507367761298</v>
      </c>
      <c r="P11" s="681">
        <f>huishoudens!O8</f>
        <v>224.18727879073461</v>
      </c>
      <c r="Q11" s="682">
        <f>huishoudens!P8</f>
        <v>263.34898269212556</v>
      </c>
      <c r="R11" s="684">
        <f>SUM(C11:Q11)</f>
        <v>69167.517609034388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16009.199091999999</v>
      </c>
      <c r="D13" s="681">
        <f>industrie!C18</f>
        <v>0</v>
      </c>
      <c r="E13" s="681">
        <f>industrie!D18</f>
        <v>16428.180702692003</v>
      </c>
      <c r="F13" s="681">
        <f>industrie!E18</f>
        <v>402.01131788016056</v>
      </c>
      <c r="G13" s="681">
        <f>industrie!F18</f>
        <v>1897.1082190397315</v>
      </c>
      <c r="H13" s="681">
        <f>industrie!G18</f>
        <v>0</v>
      </c>
      <c r="I13" s="681">
        <f>industrie!H18</f>
        <v>0</v>
      </c>
      <c r="J13" s="681">
        <f>industrie!I18</f>
        <v>0</v>
      </c>
      <c r="K13" s="681">
        <f>industrie!J18</f>
        <v>37.162127053818594</v>
      </c>
      <c r="L13" s="681">
        <f>industrie!K18</f>
        <v>0</v>
      </c>
      <c r="M13" s="681">
        <f>industrie!L18</f>
        <v>0</v>
      </c>
      <c r="N13" s="681">
        <f>industrie!M18</f>
        <v>0</v>
      </c>
      <c r="O13" s="681">
        <f>industrie!N18</f>
        <v>854.53230920263354</v>
      </c>
      <c r="P13" s="681">
        <f>industrie!O18</f>
        <v>0</v>
      </c>
      <c r="Q13" s="682">
        <f>industrie!P18</f>
        <v>0</v>
      </c>
      <c r="R13" s="684">
        <f>SUM(C13:Q13)</f>
        <v>35628.193767868339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38461.686492978137</v>
      </c>
      <c r="D16" s="717">
        <f t="shared" ref="D16:R16" ca="1" si="0">SUM(D9:D15)</f>
        <v>0</v>
      </c>
      <c r="E16" s="717">
        <f t="shared" ca="1" si="0"/>
        <v>51838.003548606008</v>
      </c>
      <c r="F16" s="717">
        <f t="shared" si="0"/>
        <v>1686.7077909889642</v>
      </c>
      <c r="G16" s="717">
        <f t="shared" ca="1" si="0"/>
        <v>21761.562846222321</v>
      </c>
      <c r="H16" s="717">
        <f t="shared" si="0"/>
        <v>0</v>
      </c>
      <c r="I16" s="717">
        <f t="shared" si="0"/>
        <v>0</v>
      </c>
      <c r="J16" s="717">
        <f t="shared" si="0"/>
        <v>0</v>
      </c>
      <c r="K16" s="717">
        <f t="shared" si="0"/>
        <v>113.61820252494842</v>
      </c>
      <c r="L16" s="717">
        <f t="shared" si="0"/>
        <v>0</v>
      </c>
      <c r="M16" s="717">
        <f t="shared" ca="1" si="0"/>
        <v>0</v>
      </c>
      <c r="N16" s="717">
        <f t="shared" si="0"/>
        <v>0</v>
      </c>
      <c r="O16" s="717">
        <f t="shared" ca="1" si="0"/>
        <v>6011.0372759050324</v>
      </c>
      <c r="P16" s="717">
        <f t="shared" si="0"/>
        <v>233.98180032241692</v>
      </c>
      <c r="Q16" s="717">
        <f t="shared" si="0"/>
        <v>263.34898269212556</v>
      </c>
      <c r="R16" s="717">
        <f t="shared" ca="1" si="0"/>
        <v>120369.94694023996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8.7710868930852399</v>
      </c>
      <c r="D19" s="681">
        <f>transport!C54</f>
        <v>0</v>
      </c>
      <c r="E19" s="681">
        <f>transport!D54</f>
        <v>0</v>
      </c>
      <c r="F19" s="681">
        <f>transport!E54</f>
        <v>0</v>
      </c>
      <c r="G19" s="681">
        <f>transport!F54</f>
        <v>0</v>
      </c>
      <c r="H19" s="681">
        <f>transport!G54</f>
        <v>635.4784557771427</v>
      </c>
      <c r="I19" s="681">
        <f>transport!H54</f>
        <v>0</v>
      </c>
      <c r="J19" s="681">
        <f>transport!I54</f>
        <v>0</v>
      </c>
      <c r="K19" s="681">
        <f>transport!J54</f>
        <v>0</v>
      </c>
      <c r="L19" s="681">
        <f>transport!K54</f>
        <v>0</v>
      </c>
      <c r="M19" s="681">
        <f>transport!L54</f>
        <v>0</v>
      </c>
      <c r="N19" s="681">
        <f>transport!M54</f>
        <v>35.944553914262031</v>
      </c>
      <c r="O19" s="681">
        <f>transport!N54</f>
        <v>0</v>
      </c>
      <c r="P19" s="681">
        <f>transport!O54</f>
        <v>0</v>
      </c>
      <c r="Q19" s="682">
        <f>transport!P54</f>
        <v>0</v>
      </c>
      <c r="R19" s="684">
        <f>SUM(C19:Q19)</f>
        <v>680.1940965844899</v>
      </c>
      <c r="S19" s="67"/>
    </row>
    <row r="20" spans="1:19" s="444" customFormat="1">
      <c r="A20" s="802" t="s">
        <v>301</v>
      </c>
      <c r="B20" s="807"/>
      <c r="C20" s="681">
        <f>transport!B14</f>
        <v>52.702293292554259</v>
      </c>
      <c r="D20" s="681">
        <f>transport!C14</f>
        <v>0</v>
      </c>
      <c r="E20" s="681">
        <f>transport!D14</f>
        <v>100.61675196896825</v>
      </c>
      <c r="F20" s="681">
        <f>transport!E14</f>
        <v>86.108544089176135</v>
      </c>
      <c r="G20" s="681">
        <f>transport!F14</f>
        <v>0</v>
      </c>
      <c r="H20" s="681">
        <f>transport!G14</f>
        <v>36775.15308311682</v>
      </c>
      <c r="I20" s="681">
        <f>transport!H14</f>
        <v>8902.9461256385948</v>
      </c>
      <c r="J20" s="681">
        <f>transport!I14</f>
        <v>0</v>
      </c>
      <c r="K20" s="681">
        <f>transport!J14</f>
        <v>0</v>
      </c>
      <c r="L20" s="681">
        <f>transport!K14</f>
        <v>0</v>
      </c>
      <c r="M20" s="681">
        <f>transport!L14</f>
        <v>0</v>
      </c>
      <c r="N20" s="681">
        <f>transport!M14</f>
        <v>2709.2531387587496</v>
      </c>
      <c r="O20" s="681">
        <f>transport!N14</f>
        <v>0</v>
      </c>
      <c r="P20" s="681">
        <f>transport!O14</f>
        <v>0</v>
      </c>
      <c r="Q20" s="682">
        <f>transport!P14</f>
        <v>0</v>
      </c>
      <c r="R20" s="684">
        <f>SUM(C20:Q20)</f>
        <v>48626.77993686487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61.473380185639499</v>
      </c>
      <c r="D22" s="805">
        <f t="shared" ref="D22:R22" si="1">SUM(D18:D21)</f>
        <v>0</v>
      </c>
      <c r="E22" s="805">
        <f t="shared" si="1"/>
        <v>100.61675196896825</v>
      </c>
      <c r="F22" s="805">
        <f t="shared" si="1"/>
        <v>86.108544089176135</v>
      </c>
      <c r="G22" s="805">
        <f t="shared" si="1"/>
        <v>0</v>
      </c>
      <c r="H22" s="805">
        <f t="shared" si="1"/>
        <v>37410.631538893962</v>
      </c>
      <c r="I22" s="805">
        <f t="shared" si="1"/>
        <v>8902.9461256385948</v>
      </c>
      <c r="J22" s="805">
        <f t="shared" si="1"/>
        <v>0</v>
      </c>
      <c r="K22" s="805">
        <f t="shared" si="1"/>
        <v>0</v>
      </c>
      <c r="L22" s="805">
        <f t="shared" si="1"/>
        <v>0</v>
      </c>
      <c r="M22" s="805">
        <f t="shared" si="1"/>
        <v>0</v>
      </c>
      <c r="N22" s="805">
        <f t="shared" si="1"/>
        <v>2745.1976926730117</v>
      </c>
      <c r="O22" s="805">
        <f t="shared" si="1"/>
        <v>0</v>
      </c>
      <c r="P22" s="805">
        <f t="shared" si="1"/>
        <v>0</v>
      </c>
      <c r="Q22" s="805">
        <f t="shared" si="1"/>
        <v>0</v>
      </c>
      <c r="R22" s="805">
        <f t="shared" si="1"/>
        <v>49306.974033449362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1400.7204199999999</v>
      </c>
      <c r="D24" s="681">
        <f>+landbouw!C8</f>
        <v>0</v>
      </c>
      <c r="E24" s="681">
        <f>+landbouw!D8</f>
        <v>91.72023440800001</v>
      </c>
      <c r="F24" s="681">
        <f>+landbouw!E8</f>
        <v>43.716022407589186</v>
      </c>
      <c r="G24" s="681">
        <f>+landbouw!F8</f>
        <v>4950.3011319023271</v>
      </c>
      <c r="H24" s="681">
        <f>+landbouw!G8</f>
        <v>0</v>
      </c>
      <c r="I24" s="681">
        <f>+landbouw!H8</f>
        <v>0</v>
      </c>
      <c r="J24" s="681">
        <f>+landbouw!I8</f>
        <v>0</v>
      </c>
      <c r="K24" s="681">
        <f>+landbouw!J8</f>
        <v>385.90818962098064</v>
      </c>
      <c r="L24" s="681">
        <f>+landbouw!K8</f>
        <v>0</v>
      </c>
      <c r="M24" s="681">
        <f>+landbouw!L8</f>
        <v>0</v>
      </c>
      <c r="N24" s="681">
        <f>+landbouw!M8</f>
        <v>0</v>
      </c>
      <c r="O24" s="681">
        <f>+landbouw!N8</f>
        <v>0</v>
      </c>
      <c r="P24" s="681">
        <f>+landbouw!O8</f>
        <v>0</v>
      </c>
      <c r="Q24" s="682">
        <f>+landbouw!P8</f>
        <v>0</v>
      </c>
      <c r="R24" s="684">
        <f>SUM(C24:Q24)</f>
        <v>6872.365998338897</v>
      </c>
      <c r="S24" s="67"/>
    </row>
    <row r="25" spans="1:19" s="444" customFormat="1" ht="15" thickBot="1">
      <c r="A25" s="824" t="s">
        <v>714</v>
      </c>
      <c r="B25" s="943"/>
      <c r="C25" s="944">
        <f>IF(Onbekend_ele_kWh="---",0,Onbekend_ele_kWh)/1000+IF(REST_rest_ele_kWh="---",0,REST_rest_ele_kWh)/1000</f>
        <v>577.61467500000003</v>
      </c>
      <c r="D25" s="944"/>
      <c r="E25" s="944">
        <f>IF(onbekend_gas_kWh="---",0,onbekend_gas_kWh)/1000+IF(REST_rest_gas_kWh="---",0,REST_rest_gas_kWh)/1000</f>
        <v>834.1925</v>
      </c>
      <c r="F25" s="944"/>
      <c r="G25" s="944"/>
      <c r="H25" s="944"/>
      <c r="I25" s="944"/>
      <c r="J25" s="944"/>
      <c r="K25" s="944"/>
      <c r="L25" s="944"/>
      <c r="M25" s="944"/>
      <c r="N25" s="944"/>
      <c r="O25" s="944"/>
      <c r="P25" s="944"/>
      <c r="Q25" s="945"/>
      <c r="R25" s="684">
        <f>SUM(C25:Q25)</f>
        <v>1411.8071749999999</v>
      </c>
      <c r="S25" s="67"/>
    </row>
    <row r="26" spans="1:19" s="444" customFormat="1" ht="15.75" thickBot="1">
      <c r="A26" s="689" t="s">
        <v>715</v>
      </c>
      <c r="B26" s="810"/>
      <c r="C26" s="805">
        <f>SUM(C24:C25)</f>
        <v>1978.3350949999999</v>
      </c>
      <c r="D26" s="805">
        <f t="shared" ref="D26:R26" si="2">SUM(D24:D25)</f>
        <v>0</v>
      </c>
      <c r="E26" s="805">
        <f t="shared" si="2"/>
        <v>925.91273440800001</v>
      </c>
      <c r="F26" s="805">
        <f t="shared" si="2"/>
        <v>43.716022407589186</v>
      </c>
      <c r="G26" s="805">
        <f t="shared" si="2"/>
        <v>4950.3011319023271</v>
      </c>
      <c r="H26" s="805">
        <f t="shared" si="2"/>
        <v>0</v>
      </c>
      <c r="I26" s="805">
        <f t="shared" si="2"/>
        <v>0</v>
      </c>
      <c r="J26" s="805">
        <f t="shared" si="2"/>
        <v>0</v>
      </c>
      <c r="K26" s="805">
        <f t="shared" si="2"/>
        <v>385.90818962098064</v>
      </c>
      <c r="L26" s="805">
        <f t="shared" si="2"/>
        <v>0</v>
      </c>
      <c r="M26" s="805">
        <f t="shared" si="2"/>
        <v>0</v>
      </c>
      <c r="N26" s="805">
        <f t="shared" si="2"/>
        <v>0</v>
      </c>
      <c r="O26" s="805">
        <f t="shared" si="2"/>
        <v>0</v>
      </c>
      <c r="P26" s="805">
        <f t="shared" si="2"/>
        <v>0</v>
      </c>
      <c r="Q26" s="805">
        <f t="shared" si="2"/>
        <v>0</v>
      </c>
      <c r="R26" s="805">
        <f t="shared" si="2"/>
        <v>8284.173173338897</v>
      </c>
      <c r="S26" s="67"/>
    </row>
    <row r="27" spans="1:19" s="444" customFormat="1" ht="17.25" thickTop="1" thickBot="1">
      <c r="A27" s="690" t="s">
        <v>115</v>
      </c>
      <c r="B27" s="797"/>
      <c r="C27" s="691">
        <f ca="1">C22+C16+C26</f>
        <v>40501.494968163781</v>
      </c>
      <c r="D27" s="691">
        <f t="shared" ref="D27:R27" ca="1" si="3">D22+D16+D26</f>
        <v>0</v>
      </c>
      <c r="E27" s="691">
        <f t="shared" ca="1" si="3"/>
        <v>52864.533034982975</v>
      </c>
      <c r="F27" s="691">
        <f t="shared" si="3"/>
        <v>1816.5323574857296</v>
      </c>
      <c r="G27" s="691">
        <f t="shared" ca="1" si="3"/>
        <v>26711.863978124649</v>
      </c>
      <c r="H27" s="691">
        <f t="shared" si="3"/>
        <v>37410.631538893962</v>
      </c>
      <c r="I27" s="691">
        <f t="shared" si="3"/>
        <v>8902.9461256385948</v>
      </c>
      <c r="J27" s="691">
        <f t="shared" si="3"/>
        <v>0</v>
      </c>
      <c r="K27" s="691">
        <f t="shared" si="3"/>
        <v>499.52639214592904</v>
      </c>
      <c r="L27" s="691">
        <f t="shared" si="3"/>
        <v>0</v>
      </c>
      <c r="M27" s="691">
        <f t="shared" ca="1" si="3"/>
        <v>0</v>
      </c>
      <c r="N27" s="691">
        <f t="shared" si="3"/>
        <v>2745.1976926730117</v>
      </c>
      <c r="O27" s="691">
        <f t="shared" ca="1" si="3"/>
        <v>6011.0372759050324</v>
      </c>
      <c r="P27" s="691">
        <f t="shared" si="3"/>
        <v>233.98180032241692</v>
      </c>
      <c r="Q27" s="691">
        <f t="shared" si="3"/>
        <v>263.34898269212556</v>
      </c>
      <c r="R27" s="691">
        <f t="shared" ca="1" si="3"/>
        <v>177961.09414702823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1490.8586207789117</v>
      </c>
      <c r="D40" s="681">
        <f ca="1">tertiair!C20</f>
        <v>0</v>
      </c>
      <c r="E40" s="681">
        <f ca="1">tertiair!D20</f>
        <v>1445.1526962640683</v>
      </c>
      <c r="F40" s="681">
        <f>tertiair!E20</f>
        <v>22.185426325753777</v>
      </c>
      <c r="G40" s="681">
        <f ca="1">tertiair!F20</f>
        <v>194.64939652846269</v>
      </c>
      <c r="H40" s="681">
        <f>tertiair!G20</f>
        <v>0</v>
      </c>
      <c r="I40" s="681">
        <f>tertiair!H20</f>
        <v>0</v>
      </c>
      <c r="J40" s="681">
        <f>tertiair!I20</f>
        <v>0</v>
      </c>
      <c r="K40" s="681">
        <f>tertiair!J20</f>
        <v>3.8492507768478255E-3</v>
      </c>
      <c r="L40" s="681">
        <f>tertiair!K20</f>
        <v>0</v>
      </c>
      <c r="M40" s="681">
        <f ca="1">tertiair!L20</f>
        <v>0</v>
      </c>
      <c r="N40" s="681">
        <f>tertiair!M20</f>
        <v>0</v>
      </c>
      <c r="O40" s="681">
        <f ca="1">tertiair!N20</f>
        <v>0</v>
      </c>
      <c r="P40" s="681">
        <f>tertiair!O20</f>
        <v>0</v>
      </c>
      <c r="Q40" s="764">
        <f>tertiair!P20</f>
        <v>0</v>
      </c>
      <c r="R40" s="843">
        <f t="shared" ca="1" si="4"/>
        <v>3152.8499891479732</v>
      </c>
    </row>
    <row r="41" spans="1:18">
      <c r="A41" s="815" t="s">
        <v>219</v>
      </c>
      <c r="B41" s="822"/>
      <c r="C41" s="681">
        <f ca="1">huishoudens!B12</f>
        <v>3188.1969755546943</v>
      </c>
      <c r="D41" s="681">
        <f ca="1">huishoudens!C12</f>
        <v>0</v>
      </c>
      <c r="E41" s="681">
        <f>huishoudens!D12</f>
        <v>5707.6315186105603</v>
      </c>
      <c r="F41" s="681">
        <f>huishoudens!E12</f>
        <v>269.44067306994469</v>
      </c>
      <c r="G41" s="681">
        <f>huishoudens!F12</f>
        <v>5109.1599889292884</v>
      </c>
      <c r="H41" s="681">
        <f>huishoudens!G12</f>
        <v>0</v>
      </c>
      <c r="I41" s="681">
        <f>huishoudens!H12</f>
        <v>0</v>
      </c>
      <c r="J41" s="681">
        <f>huishoudens!I12</f>
        <v>0</v>
      </c>
      <c r="K41" s="681">
        <f>huishoudens!J12</f>
        <v>27.061601466003108</v>
      </c>
      <c r="L41" s="681">
        <f>huishoudens!K12</f>
        <v>0</v>
      </c>
      <c r="M41" s="681">
        <f>huishoudens!L12</f>
        <v>0</v>
      </c>
      <c r="N41" s="681">
        <f>huishoudens!M12</f>
        <v>0</v>
      </c>
      <c r="O41" s="681">
        <f>huishoudens!N12</f>
        <v>0</v>
      </c>
      <c r="P41" s="681">
        <f>huishoudens!O12</f>
        <v>0</v>
      </c>
      <c r="Q41" s="764">
        <f>huishoudens!P12</f>
        <v>0</v>
      </c>
      <c r="R41" s="843">
        <f t="shared" ca="1" si="4"/>
        <v>14301.49075763049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3336.2865889406148</v>
      </c>
      <c r="D43" s="681">
        <f ca="1">industrie!C22</f>
        <v>0</v>
      </c>
      <c r="E43" s="681">
        <f>industrie!D22</f>
        <v>3318.4925019437846</v>
      </c>
      <c r="F43" s="681">
        <f>industrie!E22</f>
        <v>91.256569158796452</v>
      </c>
      <c r="G43" s="681">
        <f>industrie!F22</f>
        <v>506.52789448360835</v>
      </c>
      <c r="H43" s="681">
        <f>industrie!G22</f>
        <v>0</v>
      </c>
      <c r="I43" s="681">
        <f>industrie!H22</f>
        <v>0</v>
      </c>
      <c r="J43" s="681">
        <f>industrie!I22</f>
        <v>0</v>
      </c>
      <c r="K43" s="681">
        <f>industrie!J22</f>
        <v>13.155392977051781</v>
      </c>
      <c r="L43" s="681">
        <f>industrie!K22</f>
        <v>0</v>
      </c>
      <c r="M43" s="681">
        <f>industrie!L22</f>
        <v>0</v>
      </c>
      <c r="N43" s="681">
        <f>industrie!M22</f>
        <v>0</v>
      </c>
      <c r="O43" s="681">
        <f>industrie!N22</f>
        <v>0</v>
      </c>
      <c r="P43" s="681">
        <f>industrie!O22</f>
        <v>0</v>
      </c>
      <c r="Q43" s="764">
        <f>industrie!P22</f>
        <v>0</v>
      </c>
      <c r="R43" s="842">
        <f t="shared" ca="1" si="4"/>
        <v>7265.7189475038558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8015.3421852742213</v>
      </c>
      <c r="D46" s="717">
        <f t="shared" ref="D46:Q46" ca="1" si="5">SUM(D39:D45)</f>
        <v>0</v>
      </c>
      <c r="E46" s="717">
        <f t="shared" ca="1" si="5"/>
        <v>10471.276716818413</v>
      </c>
      <c r="F46" s="717">
        <f t="shared" si="5"/>
        <v>382.8826685544949</v>
      </c>
      <c r="G46" s="717">
        <f t="shared" ca="1" si="5"/>
        <v>5810.3372799413592</v>
      </c>
      <c r="H46" s="717">
        <f t="shared" si="5"/>
        <v>0</v>
      </c>
      <c r="I46" s="717">
        <f t="shared" si="5"/>
        <v>0</v>
      </c>
      <c r="J46" s="717">
        <f t="shared" si="5"/>
        <v>0</v>
      </c>
      <c r="K46" s="717">
        <f t="shared" si="5"/>
        <v>40.220843693831739</v>
      </c>
      <c r="L46" s="717">
        <f t="shared" si="5"/>
        <v>0</v>
      </c>
      <c r="M46" s="717">
        <f t="shared" ca="1" si="5"/>
        <v>0</v>
      </c>
      <c r="N46" s="717">
        <f t="shared" si="5"/>
        <v>0</v>
      </c>
      <c r="O46" s="717">
        <f t="shared" ca="1" si="5"/>
        <v>0</v>
      </c>
      <c r="P46" s="717">
        <f t="shared" si="5"/>
        <v>0</v>
      </c>
      <c r="Q46" s="717">
        <f t="shared" si="5"/>
        <v>0</v>
      </c>
      <c r="R46" s="717">
        <f ca="1">SUM(R39:R45)</f>
        <v>24720.059694282318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1.8278777972382212</v>
      </c>
      <c r="D49" s="681">
        <f ca="1">transport!C58</f>
        <v>0</v>
      </c>
      <c r="E49" s="681">
        <f>transport!D58</f>
        <v>0</v>
      </c>
      <c r="F49" s="681">
        <f>transport!E58</f>
        <v>0</v>
      </c>
      <c r="G49" s="681">
        <f>transport!F58</f>
        <v>0</v>
      </c>
      <c r="H49" s="681">
        <f>transport!G58</f>
        <v>169.6727476924971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171.50062548973531</v>
      </c>
    </row>
    <row r="50" spans="1:18">
      <c r="A50" s="818" t="s">
        <v>301</v>
      </c>
      <c r="B50" s="828"/>
      <c r="C50" s="687">
        <f ca="1">transport!B18</f>
        <v>10.983057510117927</v>
      </c>
      <c r="D50" s="687">
        <f>transport!C18</f>
        <v>0</v>
      </c>
      <c r="E50" s="687">
        <f>transport!D18</f>
        <v>20.324583897731586</v>
      </c>
      <c r="F50" s="687">
        <f>transport!E18</f>
        <v>19.546639508242983</v>
      </c>
      <c r="G50" s="687">
        <f>transport!F18</f>
        <v>0</v>
      </c>
      <c r="H50" s="687">
        <f>transport!G18</f>
        <v>9818.9658731921918</v>
      </c>
      <c r="I50" s="687">
        <f>transport!H18</f>
        <v>2216.83358528401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12086.653739392294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12.810935307356148</v>
      </c>
      <c r="D52" s="717">
        <f t="shared" ref="D52:Q52" ca="1" si="6">SUM(D48:D51)</f>
        <v>0</v>
      </c>
      <c r="E52" s="717">
        <f t="shared" si="6"/>
        <v>20.324583897731586</v>
      </c>
      <c r="F52" s="717">
        <f t="shared" si="6"/>
        <v>19.546639508242983</v>
      </c>
      <c r="G52" s="717">
        <f t="shared" si="6"/>
        <v>0</v>
      </c>
      <c r="H52" s="717">
        <f t="shared" si="6"/>
        <v>9988.6386208846889</v>
      </c>
      <c r="I52" s="717">
        <f t="shared" si="6"/>
        <v>2216.83358528401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12258.15436488203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291.90746677868009</v>
      </c>
      <c r="D54" s="687">
        <f ca="1">+landbouw!C12</f>
        <v>0</v>
      </c>
      <c r="E54" s="687">
        <f>+landbouw!D12</f>
        <v>18.527487350416003</v>
      </c>
      <c r="F54" s="687">
        <f>+landbouw!E12</f>
        <v>9.9235370865227459</v>
      </c>
      <c r="G54" s="687">
        <f>+landbouw!F12</f>
        <v>1321.7304022179214</v>
      </c>
      <c r="H54" s="687">
        <f>+landbouw!G12</f>
        <v>0</v>
      </c>
      <c r="I54" s="687">
        <f>+landbouw!H12</f>
        <v>0</v>
      </c>
      <c r="J54" s="687">
        <f>+landbouw!I12</f>
        <v>0</v>
      </c>
      <c r="K54" s="687">
        <f>+landbouw!J12</f>
        <v>136.61149912582715</v>
      </c>
      <c r="L54" s="687">
        <f>+landbouw!K12</f>
        <v>0</v>
      </c>
      <c r="M54" s="687">
        <f>+landbouw!L12</f>
        <v>0</v>
      </c>
      <c r="N54" s="687">
        <f>+landbouw!M12</f>
        <v>0</v>
      </c>
      <c r="O54" s="687">
        <f>+landbouw!N12</f>
        <v>0</v>
      </c>
      <c r="P54" s="687">
        <f>+landbouw!O12</f>
        <v>0</v>
      </c>
      <c r="Q54" s="688">
        <f>+landbouw!P12</f>
        <v>0</v>
      </c>
      <c r="R54" s="716">
        <f ca="1">SUM(C54:Q54)</f>
        <v>1778.7003925593674</v>
      </c>
    </row>
    <row r="55" spans="1:18" ht="15" thickBot="1">
      <c r="A55" s="818" t="s">
        <v>714</v>
      </c>
      <c r="B55" s="828"/>
      <c r="C55" s="687">
        <f ca="1">C25*'EF ele_warmte'!B12</f>
        <v>120.37379775861382</v>
      </c>
      <c r="D55" s="687"/>
      <c r="E55" s="687">
        <f>E25*EF_CO2_aardgas</f>
        <v>168.50688500000001</v>
      </c>
      <c r="F55" s="687"/>
      <c r="G55" s="687"/>
      <c r="H55" s="687"/>
      <c r="I55" s="687"/>
      <c r="J55" s="687"/>
      <c r="K55" s="687"/>
      <c r="L55" s="687"/>
      <c r="M55" s="687"/>
      <c r="N55" s="687"/>
      <c r="O55" s="687"/>
      <c r="P55" s="687"/>
      <c r="Q55" s="688"/>
      <c r="R55" s="716">
        <f ca="1">SUM(C55:Q55)</f>
        <v>288.88068275861383</v>
      </c>
    </row>
    <row r="56" spans="1:18" ht="15.75" thickBot="1">
      <c r="A56" s="816" t="s">
        <v>715</v>
      </c>
      <c r="B56" s="829"/>
      <c r="C56" s="717">
        <f ca="1">SUM(C54:C55)</f>
        <v>412.28126453729391</v>
      </c>
      <c r="D56" s="717">
        <f t="shared" ref="D56:Q56" ca="1" si="7">SUM(D54:D55)</f>
        <v>0</v>
      </c>
      <c r="E56" s="717">
        <f t="shared" si="7"/>
        <v>187.03437235041602</v>
      </c>
      <c r="F56" s="717">
        <f t="shared" si="7"/>
        <v>9.9235370865227459</v>
      </c>
      <c r="G56" s="717">
        <f t="shared" si="7"/>
        <v>1321.7304022179214</v>
      </c>
      <c r="H56" s="717">
        <f t="shared" si="7"/>
        <v>0</v>
      </c>
      <c r="I56" s="717">
        <f t="shared" si="7"/>
        <v>0</v>
      </c>
      <c r="J56" s="717">
        <f t="shared" si="7"/>
        <v>0</v>
      </c>
      <c r="K56" s="717">
        <f t="shared" si="7"/>
        <v>136.61149912582715</v>
      </c>
      <c r="L56" s="717">
        <f t="shared" si="7"/>
        <v>0</v>
      </c>
      <c r="M56" s="717">
        <f t="shared" si="7"/>
        <v>0</v>
      </c>
      <c r="N56" s="717">
        <f t="shared" si="7"/>
        <v>0</v>
      </c>
      <c r="O56" s="717">
        <f t="shared" si="7"/>
        <v>0</v>
      </c>
      <c r="P56" s="717">
        <f t="shared" si="7"/>
        <v>0</v>
      </c>
      <c r="Q56" s="718">
        <f t="shared" si="7"/>
        <v>0</v>
      </c>
      <c r="R56" s="719">
        <f ca="1">SUM(R54:R55)</f>
        <v>2067.5810753179812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8440.4343851188714</v>
      </c>
      <c r="D61" s="725">
        <f t="shared" ref="D61:Q61" ca="1" si="8">D46+D52+D56</f>
        <v>0</v>
      </c>
      <c r="E61" s="725">
        <f t="shared" ca="1" si="8"/>
        <v>10678.635673066559</v>
      </c>
      <c r="F61" s="725">
        <f t="shared" si="8"/>
        <v>412.35284514926065</v>
      </c>
      <c r="G61" s="725">
        <f t="shared" ca="1" si="8"/>
        <v>7132.0676821592806</v>
      </c>
      <c r="H61" s="725">
        <f t="shared" si="8"/>
        <v>9988.6386208846889</v>
      </c>
      <c r="I61" s="725">
        <f t="shared" si="8"/>
        <v>2216.83358528401</v>
      </c>
      <c r="J61" s="725">
        <f t="shared" si="8"/>
        <v>0</v>
      </c>
      <c r="K61" s="725">
        <f t="shared" si="8"/>
        <v>176.83234281965889</v>
      </c>
      <c r="L61" s="725">
        <f t="shared" si="8"/>
        <v>0</v>
      </c>
      <c r="M61" s="725">
        <f t="shared" ca="1" si="8"/>
        <v>0</v>
      </c>
      <c r="N61" s="725">
        <f t="shared" si="8"/>
        <v>0</v>
      </c>
      <c r="O61" s="725">
        <f t="shared" ca="1" si="8"/>
        <v>0</v>
      </c>
      <c r="P61" s="725">
        <f t="shared" si="8"/>
        <v>0</v>
      </c>
      <c r="Q61" s="725">
        <f t="shared" si="8"/>
        <v>0</v>
      </c>
      <c r="R61" s="725">
        <f ca="1">R46+R52+R56</f>
        <v>39045.79513448233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0.20839809473091003</v>
      </c>
      <c r="D63" s="771">
        <f t="shared" ca="1" si="9"/>
        <v>0</v>
      </c>
      <c r="E63" s="969">
        <f t="shared" ca="1" si="9"/>
        <v>0.20199999999999996</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2309.4841757706968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2309.4841757706968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15298.589843978139</v>
      </c>
      <c r="C4" s="448">
        <f>huishoudens!C8</f>
        <v>0</v>
      </c>
      <c r="D4" s="448">
        <f>huishoudens!D8</f>
        <v>28255.601577280002</v>
      </c>
      <c r="E4" s="448">
        <f>huishoudens!E8</f>
        <v>1186.9633174887431</v>
      </c>
      <c r="F4" s="448">
        <f>huishoudens!F8</f>
        <v>19135.430670147147</v>
      </c>
      <c r="G4" s="448">
        <f>huishoudens!G8</f>
        <v>0</v>
      </c>
      <c r="H4" s="448">
        <f>huishoudens!H8</f>
        <v>0</v>
      </c>
      <c r="I4" s="448">
        <f>huishoudens!I8</f>
        <v>0</v>
      </c>
      <c r="J4" s="448">
        <f>huishoudens!J8</f>
        <v>76.44520188136471</v>
      </c>
      <c r="K4" s="448">
        <f>huishoudens!K8</f>
        <v>0</v>
      </c>
      <c r="L4" s="448">
        <f>huishoudens!L8</f>
        <v>0</v>
      </c>
      <c r="M4" s="448">
        <f>huishoudens!M8</f>
        <v>0</v>
      </c>
      <c r="N4" s="448">
        <f>huishoudens!N8</f>
        <v>4726.9507367761298</v>
      </c>
      <c r="O4" s="448">
        <f>huishoudens!O8</f>
        <v>224.18727879073461</v>
      </c>
      <c r="P4" s="449">
        <f>huishoudens!P8</f>
        <v>263.34898269212556</v>
      </c>
      <c r="Q4" s="450">
        <f>SUM(B4:P4)</f>
        <v>69167.517609034388</v>
      </c>
    </row>
    <row r="5" spans="1:17">
      <c r="A5" s="447" t="s">
        <v>155</v>
      </c>
      <c r="B5" s="448">
        <f ca="1">tertiair!B16</f>
        <v>6504.1035569999995</v>
      </c>
      <c r="C5" s="448">
        <f ca="1">tertiair!C16</f>
        <v>0</v>
      </c>
      <c r="D5" s="448">
        <f ca="1">tertiair!D16</f>
        <v>7154.2212686340008</v>
      </c>
      <c r="E5" s="448">
        <f>tertiair!E16</f>
        <v>97.733155620060685</v>
      </c>
      <c r="F5" s="448">
        <f ca="1">tertiair!F16</f>
        <v>729.02395703544073</v>
      </c>
      <c r="G5" s="448">
        <f>tertiair!G16</f>
        <v>0</v>
      </c>
      <c r="H5" s="448">
        <f>tertiair!H16</f>
        <v>0</v>
      </c>
      <c r="I5" s="448">
        <f>tertiair!I16</f>
        <v>0</v>
      </c>
      <c r="J5" s="448">
        <f>tertiair!J16</f>
        <v>1.0873589765106852E-2</v>
      </c>
      <c r="K5" s="448">
        <f>tertiair!K16</f>
        <v>0</v>
      </c>
      <c r="L5" s="448">
        <f ca="1">tertiair!L16</f>
        <v>0</v>
      </c>
      <c r="M5" s="448">
        <f>tertiair!M16</f>
        <v>0</v>
      </c>
      <c r="N5" s="448">
        <f ca="1">tertiair!N16</f>
        <v>429.55422992626904</v>
      </c>
      <c r="O5" s="448">
        <f>tertiair!O16</f>
        <v>9.7945215316823084</v>
      </c>
      <c r="P5" s="449">
        <f>tertiair!P16</f>
        <v>0</v>
      </c>
      <c r="Q5" s="447">
        <f t="shared" ref="Q5:Q14" ca="1" si="0">SUM(B5:P5)</f>
        <v>14924.441563337219</v>
      </c>
    </row>
    <row r="6" spans="1:17">
      <c r="A6" s="447" t="s">
        <v>193</v>
      </c>
      <c r="B6" s="448">
        <f>'openbare verlichting'!B8</f>
        <v>649.79399999999998</v>
      </c>
      <c r="C6" s="448"/>
      <c r="D6" s="448"/>
      <c r="E6" s="448"/>
      <c r="F6" s="448"/>
      <c r="G6" s="448"/>
      <c r="H6" s="448"/>
      <c r="I6" s="448"/>
      <c r="J6" s="448"/>
      <c r="K6" s="448"/>
      <c r="L6" s="448"/>
      <c r="M6" s="448"/>
      <c r="N6" s="448"/>
      <c r="O6" s="448"/>
      <c r="P6" s="449"/>
      <c r="Q6" s="447">
        <f t="shared" si="0"/>
        <v>649.79399999999998</v>
      </c>
    </row>
    <row r="7" spans="1:17">
      <c r="A7" s="447" t="s">
        <v>111</v>
      </c>
      <c r="B7" s="448">
        <f>landbouw!B8</f>
        <v>1400.7204199999999</v>
      </c>
      <c r="C7" s="448">
        <f>landbouw!C8</f>
        <v>0</v>
      </c>
      <c r="D7" s="448">
        <f>landbouw!D8</f>
        <v>91.72023440800001</v>
      </c>
      <c r="E7" s="448">
        <f>landbouw!E8</f>
        <v>43.716022407589186</v>
      </c>
      <c r="F7" s="448">
        <f>landbouw!F8</f>
        <v>4950.3011319023271</v>
      </c>
      <c r="G7" s="448">
        <f>landbouw!G8</f>
        <v>0</v>
      </c>
      <c r="H7" s="448">
        <f>landbouw!H8</f>
        <v>0</v>
      </c>
      <c r="I7" s="448">
        <f>landbouw!I8</f>
        <v>0</v>
      </c>
      <c r="J7" s="448">
        <f>landbouw!J8</f>
        <v>385.90818962098064</v>
      </c>
      <c r="K7" s="448">
        <f>landbouw!K8</f>
        <v>0</v>
      </c>
      <c r="L7" s="448">
        <f>landbouw!L8</f>
        <v>0</v>
      </c>
      <c r="M7" s="448">
        <f>landbouw!M8</f>
        <v>0</v>
      </c>
      <c r="N7" s="448">
        <f>landbouw!N8</f>
        <v>0</v>
      </c>
      <c r="O7" s="448">
        <f>landbouw!O8</f>
        <v>0</v>
      </c>
      <c r="P7" s="449">
        <f>landbouw!P8</f>
        <v>0</v>
      </c>
      <c r="Q7" s="447">
        <f t="shared" si="0"/>
        <v>6872.365998338897</v>
      </c>
    </row>
    <row r="8" spans="1:17">
      <c r="A8" s="447" t="s">
        <v>618</v>
      </c>
      <c r="B8" s="448">
        <f>industrie!B18</f>
        <v>16009.199091999999</v>
      </c>
      <c r="C8" s="448">
        <f>industrie!C18</f>
        <v>0</v>
      </c>
      <c r="D8" s="448">
        <f>industrie!D18</f>
        <v>16428.180702692003</v>
      </c>
      <c r="E8" s="448">
        <f>industrie!E18</f>
        <v>402.01131788016056</v>
      </c>
      <c r="F8" s="448">
        <f>industrie!F18</f>
        <v>1897.1082190397315</v>
      </c>
      <c r="G8" s="448">
        <f>industrie!G18</f>
        <v>0</v>
      </c>
      <c r="H8" s="448">
        <f>industrie!H18</f>
        <v>0</v>
      </c>
      <c r="I8" s="448">
        <f>industrie!I18</f>
        <v>0</v>
      </c>
      <c r="J8" s="448">
        <f>industrie!J18</f>
        <v>37.162127053818594</v>
      </c>
      <c r="K8" s="448">
        <f>industrie!K18</f>
        <v>0</v>
      </c>
      <c r="L8" s="448">
        <f>industrie!L18</f>
        <v>0</v>
      </c>
      <c r="M8" s="448">
        <f>industrie!M18</f>
        <v>0</v>
      </c>
      <c r="N8" s="448">
        <f>industrie!N18</f>
        <v>854.53230920263354</v>
      </c>
      <c r="O8" s="448">
        <f>industrie!O18</f>
        <v>0</v>
      </c>
      <c r="P8" s="449">
        <f>industrie!P18</f>
        <v>0</v>
      </c>
      <c r="Q8" s="447">
        <f t="shared" si="0"/>
        <v>35628.193767868339</v>
      </c>
    </row>
    <row r="9" spans="1:17" s="453" customFormat="1">
      <c r="A9" s="451" t="s">
        <v>544</v>
      </c>
      <c r="B9" s="452">
        <f>transport!B14</f>
        <v>52.702293292554259</v>
      </c>
      <c r="C9" s="452">
        <f>transport!C14</f>
        <v>0</v>
      </c>
      <c r="D9" s="452">
        <f>transport!D14</f>
        <v>100.61675196896825</v>
      </c>
      <c r="E9" s="452">
        <f>transport!E14</f>
        <v>86.108544089176135</v>
      </c>
      <c r="F9" s="452">
        <f>transport!F14</f>
        <v>0</v>
      </c>
      <c r="G9" s="452">
        <f>transport!G14</f>
        <v>36775.15308311682</v>
      </c>
      <c r="H9" s="452">
        <f>transport!H14</f>
        <v>8902.9461256385948</v>
      </c>
      <c r="I9" s="452">
        <f>transport!I14</f>
        <v>0</v>
      </c>
      <c r="J9" s="452">
        <f>transport!J14</f>
        <v>0</v>
      </c>
      <c r="K9" s="452">
        <f>transport!K14</f>
        <v>0</v>
      </c>
      <c r="L9" s="452">
        <f>transport!L14</f>
        <v>0</v>
      </c>
      <c r="M9" s="452">
        <f>transport!M14</f>
        <v>2709.2531387587496</v>
      </c>
      <c r="N9" s="452">
        <f>transport!N14</f>
        <v>0</v>
      </c>
      <c r="O9" s="452">
        <f>transport!O14</f>
        <v>0</v>
      </c>
      <c r="P9" s="452">
        <f>transport!P14</f>
        <v>0</v>
      </c>
      <c r="Q9" s="451">
        <f>SUM(B9:P9)</f>
        <v>48626.77993686487</v>
      </c>
    </row>
    <row r="10" spans="1:17">
      <c r="A10" s="447" t="s">
        <v>534</v>
      </c>
      <c r="B10" s="448">
        <f>transport!B54</f>
        <v>8.7710868930852399</v>
      </c>
      <c r="C10" s="448">
        <f>transport!C54</f>
        <v>0</v>
      </c>
      <c r="D10" s="448">
        <f>transport!D54</f>
        <v>0</v>
      </c>
      <c r="E10" s="448">
        <f>transport!E54</f>
        <v>0</v>
      </c>
      <c r="F10" s="448">
        <f>transport!F54</f>
        <v>0</v>
      </c>
      <c r="G10" s="448">
        <f>transport!G54</f>
        <v>635.4784557771427</v>
      </c>
      <c r="H10" s="448">
        <f>transport!H54</f>
        <v>0</v>
      </c>
      <c r="I10" s="448">
        <f>transport!I54</f>
        <v>0</v>
      </c>
      <c r="J10" s="448">
        <f>transport!J54</f>
        <v>0</v>
      </c>
      <c r="K10" s="448">
        <f>transport!K54</f>
        <v>0</v>
      </c>
      <c r="L10" s="448">
        <f>transport!L54</f>
        <v>0</v>
      </c>
      <c r="M10" s="448">
        <f>transport!M54</f>
        <v>35.944553914262031</v>
      </c>
      <c r="N10" s="448">
        <f>transport!N54</f>
        <v>0</v>
      </c>
      <c r="O10" s="448">
        <f>transport!O54</f>
        <v>0</v>
      </c>
      <c r="P10" s="449">
        <f>transport!P54</f>
        <v>0</v>
      </c>
      <c r="Q10" s="447">
        <f t="shared" si="0"/>
        <v>680.1940965844899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577.61467500000003</v>
      </c>
      <c r="C14" s="455"/>
      <c r="D14" s="455">
        <f>'SEAP template'!E25</f>
        <v>834.1925</v>
      </c>
      <c r="E14" s="455"/>
      <c r="F14" s="455"/>
      <c r="G14" s="455"/>
      <c r="H14" s="455"/>
      <c r="I14" s="455"/>
      <c r="J14" s="455"/>
      <c r="K14" s="455"/>
      <c r="L14" s="455"/>
      <c r="M14" s="455"/>
      <c r="N14" s="455"/>
      <c r="O14" s="455"/>
      <c r="P14" s="456"/>
      <c r="Q14" s="447">
        <f t="shared" si="0"/>
        <v>1411.8071749999999</v>
      </c>
    </row>
    <row r="15" spans="1:17" s="459" customFormat="1">
      <c r="A15" s="457" t="s">
        <v>538</v>
      </c>
      <c r="B15" s="458">
        <f ca="1">SUM(B4:B14)</f>
        <v>40501.494968163781</v>
      </c>
      <c r="C15" s="458">
        <f t="shared" ref="C15:Q15" ca="1" si="1">SUM(C4:C14)</f>
        <v>0</v>
      </c>
      <c r="D15" s="458">
        <f t="shared" ca="1" si="1"/>
        <v>52864.533034982975</v>
      </c>
      <c r="E15" s="458">
        <f t="shared" si="1"/>
        <v>1816.5323574857296</v>
      </c>
      <c r="F15" s="458">
        <f t="shared" ca="1" si="1"/>
        <v>26711.863978124649</v>
      </c>
      <c r="G15" s="458">
        <f t="shared" si="1"/>
        <v>37410.631538893962</v>
      </c>
      <c r="H15" s="458">
        <f t="shared" si="1"/>
        <v>8902.9461256385948</v>
      </c>
      <c r="I15" s="458">
        <f t="shared" si="1"/>
        <v>0</v>
      </c>
      <c r="J15" s="458">
        <f t="shared" si="1"/>
        <v>499.52639214592909</v>
      </c>
      <c r="K15" s="458">
        <f t="shared" si="1"/>
        <v>0</v>
      </c>
      <c r="L15" s="458">
        <f t="shared" ca="1" si="1"/>
        <v>0</v>
      </c>
      <c r="M15" s="458">
        <f t="shared" si="1"/>
        <v>2745.1976926730117</v>
      </c>
      <c r="N15" s="458">
        <f t="shared" ca="1" si="1"/>
        <v>6011.0372759050324</v>
      </c>
      <c r="O15" s="458">
        <f t="shared" si="1"/>
        <v>233.98180032241692</v>
      </c>
      <c r="P15" s="458">
        <f t="shared" si="1"/>
        <v>263.34898269212556</v>
      </c>
      <c r="Q15" s="458">
        <f t="shared" ca="1" si="1"/>
        <v>177961.09414702817</v>
      </c>
    </row>
    <row r="17" spans="1:17">
      <c r="A17" s="460" t="s">
        <v>539</v>
      </c>
      <c r="B17" s="776">
        <f ca="1">huishoudens!B10</f>
        <v>0.20839809473091003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3188.1969755546943</v>
      </c>
      <c r="C22" s="448">
        <f t="shared" ref="C22:C32" ca="1" si="3">C4*$C$17</f>
        <v>0</v>
      </c>
      <c r="D22" s="448">
        <f t="shared" ref="D22:D32" si="4">D4*$D$17</f>
        <v>5707.6315186105603</v>
      </c>
      <c r="E22" s="448">
        <f t="shared" ref="E22:E32" si="5">E4*$E$17</f>
        <v>269.44067306994469</v>
      </c>
      <c r="F22" s="448">
        <f t="shared" ref="F22:F32" si="6">F4*$F$17</f>
        <v>5109.1599889292884</v>
      </c>
      <c r="G22" s="448">
        <f t="shared" ref="G22:G32" si="7">G4*$G$17</f>
        <v>0</v>
      </c>
      <c r="H22" s="448">
        <f t="shared" ref="H22:H32" si="8">H4*$H$17</f>
        <v>0</v>
      </c>
      <c r="I22" s="448">
        <f t="shared" ref="I22:I32" si="9">I4*$I$17</f>
        <v>0</v>
      </c>
      <c r="J22" s="448">
        <f t="shared" ref="J22:J32" si="10">J4*$J$17</f>
        <v>27.061601466003108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14301.49075763049</v>
      </c>
    </row>
    <row r="23" spans="1:17">
      <c r="A23" s="447" t="s">
        <v>155</v>
      </c>
      <c r="B23" s="448">
        <f t="shared" ca="1" si="2"/>
        <v>1355.4427892113347</v>
      </c>
      <c r="C23" s="448">
        <f t="shared" ca="1" si="3"/>
        <v>0</v>
      </c>
      <c r="D23" s="448">
        <f t="shared" ca="1" si="4"/>
        <v>1445.1526962640683</v>
      </c>
      <c r="E23" s="448">
        <f t="shared" si="5"/>
        <v>22.185426325753777</v>
      </c>
      <c r="F23" s="448">
        <f t="shared" ca="1" si="6"/>
        <v>194.64939652846269</v>
      </c>
      <c r="G23" s="448">
        <f t="shared" si="7"/>
        <v>0</v>
      </c>
      <c r="H23" s="448">
        <f t="shared" si="8"/>
        <v>0</v>
      </c>
      <c r="I23" s="448">
        <f t="shared" si="9"/>
        <v>0</v>
      </c>
      <c r="J23" s="448">
        <f t="shared" si="10"/>
        <v>3.8492507768478255E-3</v>
      </c>
      <c r="K23" s="448">
        <f t="shared" si="11"/>
        <v>0</v>
      </c>
      <c r="L23" s="448">
        <f t="shared" ca="1" si="12"/>
        <v>0</v>
      </c>
      <c r="M23" s="448">
        <f t="shared" si="13"/>
        <v>0</v>
      </c>
      <c r="N23" s="448">
        <f t="shared" ca="1" si="14"/>
        <v>0</v>
      </c>
      <c r="O23" s="448">
        <f t="shared" si="15"/>
        <v>0</v>
      </c>
      <c r="P23" s="449">
        <f t="shared" si="16"/>
        <v>0</v>
      </c>
      <c r="Q23" s="447">
        <f t="shared" ref="Q23:Q31" ca="1" si="17">SUM(B23:P23)</f>
        <v>3017.434157580396</v>
      </c>
    </row>
    <row r="24" spans="1:17">
      <c r="A24" s="447" t="s">
        <v>193</v>
      </c>
      <c r="B24" s="448">
        <f t="shared" ca="1" si="2"/>
        <v>135.41583156757696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135.41583156757696</v>
      </c>
    </row>
    <row r="25" spans="1:17">
      <c r="A25" s="447" t="s">
        <v>111</v>
      </c>
      <c r="B25" s="448">
        <f t="shared" ca="1" si="2"/>
        <v>291.90746677868009</v>
      </c>
      <c r="C25" s="448">
        <f t="shared" ca="1" si="3"/>
        <v>0</v>
      </c>
      <c r="D25" s="448">
        <f t="shared" si="4"/>
        <v>18.527487350416003</v>
      </c>
      <c r="E25" s="448">
        <f t="shared" si="5"/>
        <v>9.9235370865227459</v>
      </c>
      <c r="F25" s="448">
        <f t="shared" si="6"/>
        <v>1321.7304022179214</v>
      </c>
      <c r="G25" s="448">
        <f t="shared" si="7"/>
        <v>0</v>
      </c>
      <c r="H25" s="448">
        <f t="shared" si="8"/>
        <v>0</v>
      </c>
      <c r="I25" s="448">
        <f t="shared" si="9"/>
        <v>0</v>
      </c>
      <c r="J25" s="448">
        <f t="shared" si="10"/>
        <v>136.61149912582715</v>
      </c>
      <c r="K25" s="448">
        <f t="shared" si="11"/>
        <v>0</v>
      </c>
      <c r="L25" s="448">
        <f t="shared" si="12"/>
        <v>0</v>
      </c>
      <c r="M25" s="448">
        <f t="shared" si="13"/>
        <v>0</v>
      </c>
      <c r="N25" s="448">
        <f t="shared" si="14"/>
        <v>0</v>
      </c>
      <c r="O25" s="448">
        <f t="shared" si="15"/>
        <v>0</v>
      </c>
      <c r="P25" s="449">
        <f t="shared" si="16"/>
        <v>0</v>
      </c>
      <c r="Q25" s="447">
        <f t="shared" ca="1" si="17"/>
        <v>1778.7003925593674</v>
      </c>
    </row>
    <row r="26" spans="1:17">
      <c r="A26" s="447" t="s">
        <v>618</v>
      </c>
      <c r="B26" s="448">
        <f t="shared" ca="1" si="2"/>
        <v>3336.2865889406148</v>
      </c>
      <c r="C26" s="448">
        <f t="shared" ca="1" si="3"/>
        <v>0</v>
      </c>
      <c r="D26" s="448">
        <f t="shared" si="4"/>
        <v>3318.4925019437846</v>
      </c>
      <c r="E26" s="448">
        <f t="shared" si="5"/>
        <v>91.256569158796452</v>
      </c>
      <c r="F26" s="448">
        <f t="shared" si="6"/>
        <v>506.52789448360835</v>
      </c>
      <c r="G26" s="448">
        <f t="shared" si="7"/>
        <v>0</v>
      </c>
      <c r="H26" s="448">
        <f t="shared" si="8"/>
        <v>0</v>
      </c>
      <c r="I26" s="448">
        <f t="shared" si="9"/>
        <v>0</v>
      </c>
      <c r="J26" s="448">
        <f t="shared" si="10"/>
        <v>13.155392977051781</v>
      </c>
      <c r="K26" s="448">
        <f t="shared" si="11"/>
        <v>0</v>
      </c>
      <c r="L26" s="448">
        <f t="shared" si="12"/>
        <v>0</v>
      </c>
      <c r="M26" s="448">
        <f t="shared" si="13"/>
        <v>0</v>
      </c>
      <c r="N26" s="448">
        <f t="shared" si="14"/>
        <v>0</v>
      </c>
      <c r="O26" s="448">
        <f t="shared" si="15"/>
        <v>0</v>
      </c>
      <c r="P26" s="449">
        <f t="shared" si="16"/>
        <v>0</v>
      </c>
      <c r="Q26" s="447">
        <f t="shared" ca="1" si="17"/>
        <v>7265.7189475038558</v>
      </c>
    </row>
    <row r="27" spans="1:17" s="453" customFormat="1">
      <c r="A27" s="451" t="s">
        <v>544</v>
      </c>
      <c r="B27" s="770">
        <f t="shared" ca="1" si="2"/>
        <v>10.983057510117927</v>
      </c>
      <c r="C27" s="452">
        <f t="shared" ca="1" si="3"/>
        <v>0</v>
      </c>
      <c r="D27" s="452">
        <f t="shared" si="4"/>
        <v>20.324583897731586</v>
      </c>
      <c r="E27" s="452">
        <f t="shared" si="5"/>
        <v>19.546639508242983</v>
      </c>
      <c r="F27" s="452">
        <f t="shared" si="6"/>
        <v>0</v>
      </c>
      <c r="G27" s="452">
        <f t="shared" si="7"/>
        <v>9818.9658731921918</v>
      </c>
      <c r="H27" s="452">
        <f t="shared" si="8"/>
        <v>2216.83358528401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12086.653739392294</v>
      </c>
    </row>
    <row r="28" spans="1:17" ht="16.5" customHeight="1">
      <c r="A28" s="447" t="s">
        <v>534</v>
      </c>
      <c r="B28" s="448">
        <f t="shared" ca="1" si="2"/>
        <v>1.8278777972382212</v>
      </c>
      <c r="C28" s="448">
        <f t="shared" ca="1" si="3"/>
        <v>0</v>
      </c>
      <c r="D28" s="448">
        <f t="shared" si="4"/>
        <v>0</v>
      </c>
      <c r="E28" s="448">
        <f t="shared" si="5"/>
        <v>0</v>
      </c>
      <c r="F28" s="448">
        <f t="shared" si="6"/>
        <v>0</v>
      </c>
      <c r="G28" s="448">
        <f t="shared" si="7"/>
        <v>169.6727476924971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171.50062548973531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120.37379775861382</v>
      </c>
      <c r="C32" s="448">
        <f t="shared" ca="1" si="3"/>
        <v>0</v>
      </c>
      <c r="D32" s="448">
        <f t="shared" si="4"/>
        <v>168.50688500000001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288.88068275861383</v>
      </c>
    </row>
    <row r="33" spans="1:17" s="459" customFormat="1">
      <c r="A33" s="457" t="s">
        <v>538</v>
      </c>
      <c r="B33" s="458">
        <f ca="1">SUM(B22:B32)</f>
        <v>8440.4343851188714</v>
      </c>
      <c r="C33" s="458">
        <f t="shared" ref="C33:Q33" ca="1" si="19">SUM(C22:C32)</f>
        <v>0</v>
      </c>
      <c r="D33" s="458">
        <f t="shared" ca="1" si="19"/>
        <v>10678.635673066561</v>
      </c>
      <c r="E33" s="458">
        <f t="shared" si="19"/>
        <v>412.35284514926065</v>
      </c>
      <c r="F33" s="458">
        <f t="shared" ca="1" si="19"/>
        <v>7132.0676821592806</v>
      </c>
      <c r="G33" s="458">
        <f t="shared" si="19"/>
        <v>9988.6386208846889</v>
      </c>
      <c r="H33" s="458">
        <f t="shared" si="19"/>
        <v>2216.83358528401</v>
      </c>
      <c r="I33" s="458">
        <f t="shared" si="19"/>
        <v>0</v>
      </c>
      <c r="J33" s="458">
        <f t="shared" si="19"/>
        <v>176.83234281965889</v>
      </c>
      <c r="K33" s="458">
        <f t="shared" si="19"/>
        <v>0</v>
      </c>
      <c r="L33" s="458">
        <f t="shared" ca="1" si="19"/>
        <v>0</v>
      </c>
      <c r="M33" s="458">
        <f t="shared" si="19"/>
        <v>0</v>
      </c>
      <c r="N33" s="458">
        <f t="shared" ca="1" si="19"/>
        <v>0</v>
      </c>
      <c r="O33" s="458">
        <f t="shared" si="19"/>
        <v>0</v>
      </c>
      <c r="P33" s="458">
        <f t="shared" si="19"/>
        <v>0</v>
      </c>
      <c r="Q33" s="458">
        <f t="shared" ca="1" si="19"/>
        <v>39045.79513448233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2309.4841757706968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2309.4841757706968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0.20839809473091003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0.20839809473091003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0.20839809473091003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0.20839809473091003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1426.28</v>
      </c>
      <c r="C14" s="326"/>
      <c r="D14" s="326"/>
      <c r="E14" s="326"/>
      <c r="F14" s="326"/>
    </row>
    <row r="15" spans="1:6">
      <c r="A15" s="1298" t="s">
        <v>183</v>
      </c>
      <c r="B15" s="1299">
        <v>34</v>
      </c>
      <c r="C15" s="326"/>
      <c r="D15" s="326"/>
      <c r="E15" s="326"/>
      <c r="F15" s="326"/>
    </row>
    <row r="16" spans="1:6">
      <c r="A16" s="1298" t="s">
        <v>6</v>
      </c>
      <c r="B16" s="1299">
        <v>1344</v>
      </c>
      <c r="C16" s="326"/>
      <c r="D16" s="326"/>
      <c r="E16" s="326"/>
      <c r="F16" s="326"/>
    </row>
    <row r="17" spans="1:6">
      <c r="A17" s="1298" t="s">
        <v>7</v>
      </c>
      <c r="B17" s="1299">
        <v>499</v>
      </c>
      <c r="C17" s="326"/>
      <c r="D17" s="326"/>
      <c r="E17" s="326"/>
      <c r="F17" s="326"/>
    </row>
    <row r="18" spans="1:6">
      <c r="A18" s="1298" t="s">
        <v>8</v>
      </c>
      <c r="B18" s="1299">
        <v>1100</v>
      </c>
      <c r="C18" s="326"/>
      <c r="D18" s="326"/>
      <c r="E18" s="326"/>
      <c r="F18" s="326"/>
    </row>
    <row r="19" spans="1:6">
      <c r="A19" s="1298" t="s">
        <v>9</v>
      </c>
      <c r="B19" s="1299">
        <v>990</v>
      </c>
      <c r="C19" s="326"/>
      <c r="D19" s="326"/>
      <c r="E19" s="326"/>
      <c r="F19" s="326"/>
    </row>
    <row r="20" spans="1:6">
      <c r="A20" s="1298" t="s">
        <v>10</v>
      </c>
      <c r="B20" s="1299">
        <v>623</v>
      </c>
      <c r="C20" s="326"/>
      <c r="D20" s="326"/>
      <c r="E20" s="326"/>
      <c r="F20" s="326"/>
    </row>
    <row r="21" spans="1:6">
      <c r="A21" s="1298" t="s">
        <v>11</v>
      </c>
      <c r="B21" s="1299">
        <v>3327</v>
      </c>
      <c r="C21" s="326"/>
      <c r="D21" s="326"/>
      <c r="E21" s="326"/>
      <c r="F21" s="326"/>
    </row>
    <row r="22" spans="1:6">
      <c r="A22" s="1298" t="s">
        <v>12</v>
      </c>
      <c r="B22" s="1299">
        <v>6525</v>
      </c>
      <c r="C22" s="326"/>
      <c r="D22" s="326"/>
      <c r="E22" s="326"/>
      <c r="F22" s="326"/>
    </row>
    <row r="23" spans="1:6">
      <c r="A23" s="1298" t="s">
        <v>13</v>
      </c>
      <c r="B23" s="1299">
        <v>137</v>
      </c>
      <c r="C23" s="326"/>
      <c r="D23" s="326"/>
      <c r="E23" s="326"/>
      <c r="F23" s="326"/>
    </row>
    <row r="24" spans="1:6">
      <c r="A24" s="1298" t="s">
        <v>14</v>
      </c>
      <c r="B24" s="1299">
        <v>7</v>
      </c>
      <c r="C24" s="326"/>
      <c r="D24" s="326"/>
      <c r="E24" s="326"/>
      <c r="F24" s="326"/>
    </row>
    <row r="25" spans="1:6">
      <c r="A25" s="1298" t="s">
        <v>15</v>
      </c>
      <c r="B25" s="1299">
        <v>855</v>
      </c>
      <c r="C25" s="326"/>
      <c r="D25" s="326"/>
      <c r="E25" s="326"/>
      <c r="F25" s="326"/>
    </row>
    <row r="26" spans="1:6">
      <c r="A26" s="1298" t="s">
        <v>16</v>
      </c>
      <c r="B26" s="1299">
        <v>168</v>
      </c>
      <c r="C26" s="326"/>
      <c r="D26" s="326"/>
      <c r="E26" s="326"/>
      <c r="F26" s="326"/>
    </row>
    <row r="27" spans="1:6">
      <c r="A27" s="1298" t="s">
        <v>17</v>
      </c>
      <c r="B27" s="1299">
        <v>0</v>
      </c>
      <c r="C27" s="326"/>
      <c r="D27" s="326"/>
      <c r="E27" s="326"/>
      <c r="F27" s="326"/>
    </row>
    <row r="28" spans="1:6" s="43" customFormat="1">
      <c r="A28" s="1300" t="s">
        <v>18</v>
      </c>
      <c r="B28" s="1301">
        <v>18740</v>
      </c>
      <c r="C28" s="332"/>
      <c r="D28" s="332"/>
      <c r="E28" s="332"/>
      <c r="F28" s="332"/>
    </row>
    <row r="29" spans="1:6">
      <c r="A29" s="1300" t="s">
        <v>695</v>
      </c>
      <c r="B29" s="1301">
        <v>80</v>
      </c>
      <c r="C29" s="332"/>
      <c r="D29" s="332"/>
      <c r="E29" s="332"/>
      <c r="F29" s="332"/>
    </row>
    <row r="30" spans="1:6">
      <c r="A30" s="1293" t="s">
        <v>696</v>
      </c>
      <c r="B30" s="1302">
        <v>13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8095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2122</v>
      </c>
      <c r="D39" s="1299">
        <v>31325500.640000001</v>
      </c>
      <c r="E39" s="1299">
        <v>3291</v>
      </c>
      <c r="F39" s="1299">
        <v>13362406.279999999</v>
      </c>
    </row>
    <row r="40" spans="1:6">
      <c r="A40" s="1298" t="s">
        <v>29</v>
      </c>
      <c r="B40" s="1298" t="s">
        <v>28</v>
      </c>
      <c r="C40" s="1299">
        <v>0</v>
      </c>
      <c r="D40" s="1299">
        <v>0</v>
      </c>
      <c r="E40" s="1299">
        <v>0</v>
      </c>
      <c r="F40" s="1299">
        <v>0</v>
      </c>
    </row>
    <row r="41" spans="1:6">
      <c r="A41" s="1298" t="s">
        <v>31</v>
      </c>
      <c r="B41" s="1298" t="s">
        <v>32</v>
      </c>
      <c r="C41" s="1299">
        <v>35</v>
      </c>
      <c r="D41" s="1299">
        <v>541340.50100000005</v>
      </c>
      <c r="E41" s="1299">
        <v>86</v>
      </c>
      <c r="F41" s="1299">
        <v>613914.01599999995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17552461.620000001</v>
      </c>
      <c r="E48" s="1299">
        <v>21</v>
      </c>
      <c r="F48" s="1299">
        <v>4498385.9859999996</v>
      </c>
    </row>
    <row r="49" spans="1:6">
      <c r="A49" s="1298" t="s">
        <v>31</v>
      </c>
      <c r="B49" s="1298" t="s">
        <v>39</v>
      </c>
      <c r="C49" s="1299">
        <v>0</v>
      </c>
      <c r="D49" s="1299">
        <v>0</v>
      </c>
      <c r="E49" s="1299">
        <v>0</v>
      </c>
      <c r="F49" s="1299">
        <v>0</v>
      </c>
    </row>
    <row r="50" spans="1:6">
      <c r="A50" s="1298" t="s">
        <v>31</v>
      </c>
      <c r="B50" s="1298" t="s">
        <v>40</v>
      </c>
      <c r="C50" s="1299">
        <v>3</v>
      </c>
      <c r="D50" s="1299">
        <v>119258.52499999999</v>
      </c>
      <c r="E50" s="1299">
        <v>11</v>
      </c>
      <c r="F50" s="1299">
        <v>10896899.09</v>
      </c>
    </row>
    <row r="51" spans="1:6">
      <c r="A51" s="1298" t="s">
        <v>41</v>
      </c>
      <c r="B51" s="1298" t="s">
        <v>42</v>
      </c>
      <c r="C51" s="1299">
        <v>4</v>
      </c>
      <c r="D51" s="1299">
        <v>50870.534</v>
      </c>
      <c r="E51" s="1299">
        <v>49</v>
      </c>
      <c r="F51" s="1299">
        <v>1046578.802</v>
      </c>
    </row>
    <row r="52" spans="1:6">
      <c r="A52" s="1298" t="s">
        <v>41</v>
      </c>
      <c r="B52" s="1298" t="s">
        <v>28</v>
      </c>
      <c r="C52" s="1299">
        <v>5</v>
      </c>
      <c r="D52" s="1299">
        <v>50814.87</v>
      </c>
      <c r="E52" s="1299">
        <v>9</v>
      </c>
      <c r="F52" s="1299">
        <v>354141.61800000002</v>
      </c>
    </row>
    <row r="53" spans="1:6">
      <c r="A53" s="1298" t="s">
        <v>43</v>
      </c>
      <c r="B53" s="1298" t="s">
        <v>44</v>
      </c>
      <c r="C53" s="1299">
        <v>61</v>
      </c>
      <c r="D53" s="1299">
        <v>834192.5</v>
      </c>
      <c r="E53" s="1299">
        <v>129</v>
      </c>
      <c r="F53" s="1299">
        <v>577614.67500000005</v>
      </c>
    </row>
    <row r="54" spans="1:6">
      <c r="A54" s="1298" t="s">
        <v>45</v>
      </c>
      <c r="B54" s="1298" t="s">
        <v>46</v>
      </c>
      <c r="C54" s="1299">
        <v>0</v>
      </c>
      <c r="D54" s="1299">
        <v>0</v>
      </c>
      <c r="E54" s="1299">
        <v>1</v>
      </c>
      <c r="F54" s="1299">
        <v>649794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282160.56699999998</v>
      </c>
      <c r="E57" s="1299">
        <v>30</v>
      </c>
      <c r="F57" s="1299">
        <v>368615.08199999999</v>
      </c>
    </row>
    <row r="58" spans="1:6">
      <c r="A58" s="1298" t="s">
        <v>48</v>
      </c>
      <c r="B58" s="1298" t="s">
        <v>50</v>
      </c>
      <c r="C58" s="1299">
        <v>8</v>
      </c>
      <c r="D58" s="1299">
        <v>560305.25899999996</v>
      </c>
      <c r="E58" s="1299">
        <v>17</v>
      </c>
      <c r="F58" s="1299">
        <v>234969.614</v>
      </c>
    </row>
    <row r="59" spans="1:6">
      <c r="A59" s="1298" t="s">
        <v>48</v>
      </c>
      <c r="B59" s="1298" t="s">
        <v>51</v>
      </c>
      <c r="C59" s="1299">
        <v>13</v>
      </c>
      <c r="D59" s="1299">
        <v>438203.80300000001</v>
      </c>
      <c r="E59" s="1299">
        <v>56</v>
      </c>
      <c r="F59" s="1299">
        <v>1859581.9569999999</v>
      </c>
    </row>
    <row r="60" spans="1:6">
      <c r="A60" s="1298" t="s">
        <v>48</v>
      </c>
      <c r="B60" s="1298" t="s">
        <v>52</v>
      </c>
      <c r="C60" s="1299">
        <v>22</v>
      </c>
      <c r="D60" s="1299">
        <v>1052909.0970000001</v>
      </c>
      <c r="E60" s="1299">
        <v>31</v>
      </c>
      <c r="F60" s="1299">
        <v>578637.49399999995</v>
      </c>
    </row>
    <row r="61" spans="1:6">
      <c r="A61" s="1298" t="s">
        <v>48</v>
      </c>
      <c r="B61" s="1298" t="s">
        <v>53</v>
      </c>
      <c r="C61" s="1299">
        <v>62</v>
      </c>
      <c r="D61" s="1299">
        <v>1464726.8840000001</v>
      </c>
      <c r="E61" s="1299">
        <v>139</v>
      </c>
      <c r="F61" s="1299">
        <v>994364.18599999999</v>
      </c>
    </row>
    <row r="62" spans="1:6">
      <c r="A62" s="1298" t="s">
        <v>48</v>
      </c>
      <c r="B62" s="1298" t="s">
        <v>54</v>
      </c>
      <c r="C62" s="1299">
        <v>3</v>
      </c>
      <c r="D62" s="1299">
        <v>55956.752999999997</v>
      </c>
      <c r="E62" s="1299">
        <v>4</v>
      </c>
      <c r="F62" s="1299">
        <v>59332.337</v>
      </c>
    </row>
    <row r="63" spans="1:6">
      <c r="A63" s="1298" t="s">
        <v>48</v>
      </c>
      <c r="B63" s="1298" t="s">
        <v>28</v>
      </c>
      <c r="C63" s="1299">
        <v>87</v>
      </c>
      <c r="D63" s="1299">
        <v>4077246.804</v>
      </c>
      <c r="E63" s="1299">
        <v>97</v>
      </c>
      <c r="F63" s="1299">
        <v>2408602.8870000001</v>
      </c>
    </row>
    <row r="64" spans="1:6">
      <c r="A64" s="1298" t="s">
        <v>55</v>
      </c>
      <c r="B64" s="1298" t="s">
        <v>56</v>
      </c>
      <c r="C64" s="1299">
        <v>0</v>
      </c>
      <c r="D64" s="1299">
        <v>0</v>
      </c>
      <c r="E64" s="1299">
        <v>0</v>
      </c>
      <c r="F64" s="1299">
        <v>0</v>
      </c>
    </row>
    <row r="65" spans="1:6">
      <c r="A65" s="1298" t="s">
        <v>55</v>
      </c>
      <c r="B65" s="1298" t="s">
        <v>28</v>
      </c>
      <c r="C65" s="1299">
        <v>2</v>
      </c>
      <c r="D65" s="1299">
        <v>24119.895</v>
      </c>
      <c r="E65" s="1299">
        <v>3</v>
      </c>
      <c r="F65" s="1299">
        <v>4744.8190000000004</v>
      </c>
    </row>
    <row r="66" spans="1:6">
      <c r="A66" s="1298" t="s">
        <v>55</v>
      </c>
      <c r="B66" s="1298" t="s">
        <v>57</v>
      </c>
      <c r="C66" s="1299">
        <v>0</v>
      </c>
      <c r="D66" s="1299">
        <v>0</v>
      </c>
      <c r="E66" s="1299">
        <v>4</v>
      </c>
      <c r="F66" s="1299">
        <v>71143</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29417659</v>
      </c>
      <c r="E73" s="446"/>
      <c r="F73" s="326"/>
    </row>
    <row r="74" spans="1:6">
      <c r="A74" s="1298" t="s">
        <v>63</v>
      </c>
      <c r="B74" s="1298" t="s">
        <v>639</v>
      </c>
      <c r="C74" s="1312" t="s">
        <v>641</v>
      </c>
      <c r="D74" s="1313">
        <v>3278640.5</v>
      </c>
      <c r="E74" s="446"/>
      <c r="F74" s="326"/>
    </row>
    <row r="75" spans="1:6">
      <c r="A75" s="1298" t="s">
        <v>64</v>
      </c>
      <c r="B75" s="1298" t="s">
        <v>638</v>
      </c>
      <c r="C75" s="1312" t="s">
        <v>642</v>
      </c>
      <c r="D75" s="1313">
        <v>21602199</v>
      </c>
      <c r="E75" s="446"/>
      <c r="F75" s="326"/>
    </row>
    <row r="76" spans="1:6">
      <c r="A76" s="1298" t="s">
        <v>64</v>
      </c>
      <c r="B76" s="1298" t="s">
        <v>639</v>
      </c>
      <c r="C76" s="1312" t="s">
        <v>643</v>
      </c>
      <c r="D76" s="1313">
        <v>693247.5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186387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1936.1835639781407</v>
      </c>
      <c r="C91" s="326"/>
      <c r="D91" s="326"/>
      <c r="E91" s="326"/>
      <c r="F91" s="326"/>
    </row>
    <row r="92" spans="1:6">
      <c r="A92" s="1293" t="s">
        <v>68</v>
      </c>
      <c r="B92" s="1294">
        <v>373.3006117925562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1105</v>
      </c>
      <c r="C97" s="326"/>
      <c r="D97" s="326"/>
      <c r="E97" s="326"/>
      <c r="F97" s="326"/>
    </row>
    <row r="98" spans="1:6">
      <c r="A98" s="1298" t="s">
        <v>71</v>
      </c>
      <c r="B98" s="1299">
        <v>1</v>
      </c>
      <c r="C98" s="326"/>
      <c r="D98" s="326"/>
      <c r="E98" s="326"/>
      <c r="F98" s="326"/>
    </row>
    <row r="99" spans="1:6">
      <c r="A99" s="1298" t="s">
        <v>72</v>
      </c>
      <c r="B99" s="1299">
        <v>56</v>
      </c>
      <c r="C99" s="326"/>
      <c r="D99" s="326"/>
      <c r="E99" s="326"/>
      <c r="F99" s="326"/>
    </row>
    <row r="100" spans="1:6">
      <c r="A100" s="1298" t="s">
        <v>73</v>
      </c>
      <c r="B100" s="1299">
        <v>471</v>
      </c>
      <c r="C100" s="326"/>
      <c r="D100" s="326"/>
      <c r="E100" s="326"/>
      <c r="F100" s="326"/>
    </row>
    <row r="101" spans="1:6">
      <c r="A101" s="1298" t="s">
        <v>74</v>
      </c>
      <c r="B101" s="1299">
        <v>68</v>
      </c>
      <c r="C101" s="326"/>
      <c r="D101" s="326"/>
      <c r="E101" s="326"/>
      <c r="F101" s="326"/>
    </row>
    <row r="102" spans="1:6">
      <c r="A102" s="1298" t="s">
        <v>75</v>
      </c>
      <c r="B102" s="1299">
        <v>67</v>
      </c>
      <c r="C102" s="326"/>
      <c r="D102" s="326"/>
      <c r="E102" s="326"/>
      <c r="F102" s="326"/>
    </row>
    <row r="103" spans="1:6">
      <c r="A103" s="1298" t="s">
        <v>76</v>
      </c>
      <c r="B103" s="1299">
        <v>125</v>
      </c>
      <c r="C103" s="326"/>
      <c r="D103" s="326"/>
      <c r="E103" s="326"/>
      <c r="F103" s="326"/>
    </row>
    <row r="104" spans="1:6">
      <c r="A104" s="1298" t="s">
        <v>77</v>
      </c>
      <c r="B104" s="1299">
        <v>1194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16</v>
      </c>
      <c r="C123" s="1299">
        <v>25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88</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40501.494968163781</v>
      </c>
      <c r="C3" s="43" t="s">
        <v>169</v>
      </c>
      <c r="D3" s="43"/>
      <c r="E3" s="154"/>
      <c r="F3" s="43"/>
      <c r="G3" s="43"/>
      <c r="H3" s="43"/>
      <c r="I3" s="43"/>
      <c r="J3" s="43"/>
      <c r="K3" s="96"/>
    </row>
    <row r="4" spans="1:11">
      <c r="A4" s="354" t="s">
        <v>170</v>
      </c>
      <c r="B4" s="49">
        <f>IF(ISERROR('SEAP template'!B78+'SEAP template'!C78),0,'SEAP template'!B78+'SEAP template'!C78)</f>
        <v>2309.4841757706968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0.20839809473091003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649.79399999999998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649.79399999999998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0.20839809473091003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135.41583156757696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13362.406279999999</v>
      </c>
      <c r="C5" s="17">
        <f>IF(ISERROR('Eigen informatie GS &amp; warmtenet'!B59),0,'Eigen informatie GS &amp; warmtenet'!B59)</f>
        <v>0</v>
      </c>
      <c r="D5" s="30">
        <f>(SUM(HH_hh_gas_kWh,HH_rest_gas_kWh)/1000)*0.902</f>
        <v>28255.601577280002</v>
      </c>
      <c r="E5" s="17">
        <f>B32*B41</f>
        <v>1186.9633174887431</v>
      </c>
      <c r="F5" s="17">
        <f>B36*B45</f>
        <v>19135.430670147147</v>
      </c>
      <c r="G5" s="18"/>
      <c r="H5" s="17"/>
      <c r="I5" s="17"/>
      <c r="J5" s="17">
        <f>B35*B44+C35*C44</f>
        <v>76.44520188136471</v>
      </c>
      <c r="K5" s="17"/>
      <c r="L5" s="17"/>
      <c r="M5" s="17"/>
      <c r="N5" s="17">
        <f>B34*B43+C34*C43</f>
        <v>4726.9507367761298</v>
      </c>
      <c r="O5" s="17">
        <f>B52*B53*B54</f>
        <v>224.18727879073461</v>
      </c>
      <c r="P5" s="17">
        <f>B60*B61*B62/1000-B60*B61*B62/1000/B63</f>
        <v>263.34898269212556</v>
      </c>
    </row>
    <row r="6" spans="1:16">
      <c r="A6" s="16" t="s">
        <v>604</v>
      </c>
      <c r="B6" s="778">
        <f>kWh_PV_kleiner_dan_10kW</f>
        <v>1936.1835639781407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15298.589843978139</v>
      </c>
      <c r="C8" s="21">
        <f>C5</f>
        <v>0</v>
      </c>
      <c r="D8" s="21">
        <f>D5</f>
        <v>28255.601577280002</v>
      </c>
      <c r="E8" s="21">
        <f>E5</f>
        <v>1186.9633174887431</v>
      </c>
      <c r="F8" s="21">
        <f>F5</f>
        <v>19135.430670147147</v>
      </c>
      <c r="G8" s="21"/>
      <c r="H8" s="21"/>
      <c r="I8" s="21"/>
      <c r="J8" s="21">
        <f>J5</f>
        <v>76.44520188136471</v>
      </c>
      <c r="K8" s="21"/>
      <c r="L8" s="21">
        <f>L5</f>
        <v>0</v>
      </c>
      <c r="M8" s="21">
        <f>M5</f>
        <v>0</v>
      </c>
      <c r="N8" s="21">
        <f>N5</f>
        <v>4726.9507367761298</v>
      </c>
      <c r="O8" s="21">
        <f>O5</f>
        <v>224.18727879073461</v>
      </c>
      <c r="P8" s="21">
        <f>P5</f>
        <v>263.34898269212556</v>
      </c>
    </row>
    <row r="9" spans="1:16">
      <c r="B9" s="19"/>
      <c r="C9" s="19"/>
      <c r="D9" s="256"/>
      <c r="E9" s="19"/>
      <c r="F9" s="19"/>
      <c r="G9" s="19"/>
      <c r="H9" s="19"/>
      <c r="I9" s="19"/>
      <c r="J9" s="19"/>
      <c r="K9" s="19"/>
      <c r="L9" s="19"/>
      <c r="M9" s="19"/>
      <c r="N9" s="19"/>
      <c r="O9" s="19"/>
      <c r="P9" s="19"/>
    </row>
    <row r="10" spans="1:16">
      <c r="A10" s="24" t="s">
        <v>213</v>
      </c>
      <c r="B10" s="25">
        <f ca="1">'EF ele_warmte'!B12</f>
        <v>0.20839809473091003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3188.1969755546943</v>
      </c>
      <c r="C12" s="23">
        <f ca="1">C10*C8</f>
        <v>0</v>
      </c>
      <c r="D12" s="23">
        <f>D8*D10</f>
        <v>5707.6315186105603</v>
      </c>
      <c r="E12" s="23">
        <f>E10*E8</f>
        <v>269.44067306994469</v>
      </c>
      <c r="F12" s="23">
        <f>F10*F8</f>
        <v>5109.1599889292884</v>
      </c>
      <c r="G12" s="23"/>
      <c r="H12" s="23"/>
      <c r="I12" s="23"/>
      <c r="J12" s="23">
        <f>J10*J8</f>
        <v>27.061601466003108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3417</v>
      </c>
      <c r="C26" s="36"/>
      <c r="D26" s="226"/>
    </row>
    <row r="27" spans="1:7" s="15" customFormat="1">
      <c r="A27" s="228" t="s">
        <v>806</v>
      </c>
      <c r="B27" s="37">
        <f>SUM(HH_hh_gas_aantal,HH_rest_gas_aantal)</f>
        <v>2122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2015.9</v>
      </c>
      <c r="C31" s="166" t="s">
        <v>110</v>
      </c>
      <c r="D31" s="231"/>
      <c r="G31" s="15"/>
    </row>
    <row r="32" spans="1:7">
      <c r="A32" s="169" t="s">
        <v>72</v>
      </c>
      <c r="B32" s="166">
        <f>IF((B21*($B$26-($B$27-0.05*$B$27)-$B$60))&lt;0,0,B21*($B$26-($B$27-0.05*$B$27)-$B$60))</f>
        <v>21.845860922723535</v>
      </c>
      <c r="C32" s="166" t="s">
        <v>110</v>
      </c>
      <c r="D32" s="231"/>
      <c r="G32" s="15"/>
    </row>
    <row r="33" spans="1:7">
      <c r="A33" s="169" t="s">
        <v>73</v>
      </c>
      <c r="B33" s="166">
        <f>IF((B22*($B$26-($B$27-0.05*$B$27)-$B$60))&lt;0,0,B22*($B$26-($B$27-0.05*$B$27)-$B$60))</f>
        <v>354.73351518258778</v>
      </c>
      <c r="C33" s="166" t="s">
        <v>110</v>
      </c>
      <c r="D33" s="231"/>
      <c r="G33" s="15"/>
    </row>
    <row r="34" spans="1:7">
      <c r="A34" s="169" t="s">
        <v>74</v>
      </c>
      <c r="B34" s="166">
        <f>IF((B24*($B$26-($B$27-0.05*$B$27)-$B$60))&lt;0,0,B24*($B$26-($B$27-0.05*$B$27)-$B$60))</f>
        <v>68.007162069032617</v>
      </c>
      <c r="C34" s="166">
        <f>B26*C24</f>
        <v>700.16359631896148</v>
      </c>
      <c r="D34" s="231"/>
      <c r="G34" s="15"/>
    </row>
    <row r="35" spans="1:7">
      <c r="A35" s="169" t="s">
        <v>76</v>
      </c>
      <c r="B35" s="166">
        <f>IF((B19*($B$26-($B$27-0.05*$B$27)-$B$60))&lt;0,0,B19*($B$26-($B$27-0.05*$B$27)-$B$60))</f>
        <v>9.4963436611499255</v>
      </c>
      <c r="C35" s="166">
        <f>B35/2</f>
        <v>4.7481718305749627</v>
      </c>
      <c r="D35" s="232"/>
      <c r="G35" s="15"/>
    </row>
    <row r="36" spans="1:7">
      <c r="A36" s="169" t="s">
        <v>77</v>
      </c>
      <c r="B36" s="166">
        <f>IF((B18*($B$26-($B$27-0.05*$B$27)-$B$60))&lt;0,0,B18*($B$26-($B$27-0.05*$B$27)-$B$60))</f>
        <v>922.01711816450575</v>
      </c>
      <c r="C36" s="166" t="s">
        <v>110</v>
      </c>
      <c r="D36" s="232"/>
      <c r="G36" s="15"/>
    </row>
    <row r="37" spans="1:7">
      <c r="A37" s="169" t="s">
        <v>78</v>
      </c>
      <c r="B37" s="166">
        <f>B60</f>
        <v>25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6504.1035569999995</v>
      </c>
      <c r="C5" s="17">
        <f>IF(ISERROR('Eigen informatie GS &amp; warmtenet'!B60),0,'Eigen informatie GS &amp; warmtenet'!B60)</f>
        <v>0</v>
      </c>
      <c r="D5" s="30">
        <f>SUM(D6:D12)</f>
        <v>7154.2212686340008</v>
      </c>
      <c r="E5" s="17">
        <f>SUM(E6:E12)</f>
        <v>97.733155620060685</v>
      </c>
      <c r="F5" s="17">
        <f>SUM(F6:F12)</f>
        <v>729.02395703544073</v>
      </c>
      <c r="G5" s="18"/>
      <c r="H5" s="17"/>
      <c r="I5" s="17"/>
      <c r="J5" s="17">
        <f>SUM(J6:J12)</f>
        <v>1.0873589765106852E-2</v>
      </c>
      <c r="K5" s="17"/>
      <c r="L5" s="17"/>
      <c r="M5" s="17"/>
      <c r="N5" s="17">
        <f>SUM(N6:N12)</f>
        <v>429.55422992626904</v>
      </c>
      <c r="O5" s="17">
        <f>B38*B39*B40</f>
        <v>9.7945215316823084</v>
      </c>
      <c r="P5" s="17">
        <f>B46*B47*B48/1000-B46*B47*B48/1000/B49</f>
        <v>0</v>
      </c>
      <c r="R5" s="32"/>
    </row>
    <row r="6" spans="1:18">
      <c r="A6" s="32" t="s">
        <v>53</v>
      </c>
      <c r="B6" s="37">
        <f>B26</f>
        <v>994.36418600000002</v>
      </c>
      <c r="C6" s="33"/>
      <c r="D6" s="37">
        <f>IF(ISERROR(TER_kantoor_gas_kWh/1000),0,TER_kantoor_gas_kWh/1000)*0.902</f>
        <v>1321.1836493680003</v>
      </c>
      <c r="E6" s="33">
        <f>$C$26*'E Balans VL '!I12/100/3.6*1000000</f>
        <v>8.0013297864667017</v>
      </c>
      <c r="F6" s="33">
        <f>$C$26*('E Balans VL '!L12+'E Balans VL '!N12)/100/3.6*1000000</f>
        <v>121.57148211484089</v>
      </c>
      <c r="G6" s="34"/>
      <c r="H6" s="33"/>
      <c r="I6" s="33"/>
      <c r="J6" s="33">
        <f>$C$26*('E Balans VL '!D12+'E Balans VL '!E12)/100/3.6*1000000</f>
        <v>0</v>
      </c>
      <c r="K6" s="33"/>
      <c r="L6" s="33"/>
      <c r="M6" s="33"/>
      <c r="N6" s="33">
        <f>$C$26*'E Balans VL '!Y12/100/3.6*1000000</f>
        <v>0.53442178283877295</v>
      </c>
      <c r="O6" s="33"/>
      <c r="P6" s="33"/>
      <c r="R6" s="32"/>
    </row>
    <row r="7" spans="1:18">
      <c r="A7" s="32" t="s">
        <v>52</v>
      </c>
      <c r="B7" s="37">
        <f t="shared" ref="B7:B12" si="0">B27</f>
        <v>578.63749399999995</v>
      </c>
      <c r="C7" s="33"/>
      <c r="D7" s="37">
        <f>IF(ISERROR(TER_horeca_gas_kWh/1000),0,TER_horeca_gas_kWh/1000)*0.902</f>
        <v>949.72400549400004</v>
      </c>
      <c r="E7" s="33">
        <f>$C$27*'E Balans VL '!I9/100/3.6*1000000</f>
        <v>6.2131458002856466</v>
      </c>
      <c r="F7" s="33">
        <f>$C$27*('E Balans VL '!L9+'E Balans VL '!N9)/100/3.6*1000000</f>
        <v>69.596059325420143</v>
      </c>
      <c r="G7" s="34"/>
      <c r="H7" s="33"/>
      <c r="I7" s="33"/>
      <c r="J7" s="33">
        <f>$C$27*('E Balans VL '!D9+'E Balans VL '!E9)/100/3.6*1000000</f>
        <v>0</v>
      </c>
      <c r="K7" s="33"/>
      <c r="L7" s="33"/>
      <c r="M7" s="33"/>
      <c r="N7" s="33">
        <f>$C$27*'E Balans VL '!Y9/100/3.6*1000000</f>
        <v>8.6749487971043843E-2</v>
      </c>
      <c r="O7" s="33"/>
      <c r="P7" s="33"/>
      <c r="R7" s="32"/>
    </row>
    <row r="8" spans="1:18">
      <c r="A8" s="6" t="s">
        <v>51</v>
      </c>
      <c r="B8" s="37">
        <f t="shared" si="0"/>
        <v>1859.5819569999999</v>
      </c>
      <c r="C8" s="33"/>
      <c r="D8" s="37">
        <f>IF(ISERROR(TER_handel_gas_kWh/1000),0,TER_handel_gas_kWh/1000)*0.902</f>
        <v>395.25983030600003</v>
      </c>
      <c r="E8" s="33">
        <f>$C$28*'E Balans VL '!I13/100/3.6*1000000</f>
        <v>49.905486670945784</v>
      </c>
      <c r="F8" s="33">
        <f>$C$28*('E Balans VL '!L13+'E Balans VL '!N13)/100/3.6*1000000</f>
        <v>177.4614324915367</v>
      </c>
      <c r="G8" s="34"/>
      <c r="H8" s="33"/>
      <c r="I8" s="33"/>
      <c r="J8" s="33">
        <f>$C$28*('E Balans VL '!D13+'E Balans VL '!E13)/100/3.6*1000000</f>
        <v>0</v>
      </c>
      <c r="K8" s="33"/>
      <c r="L8" s="33"/>
      <c r="M8" s="33"/>
      <c r="N8" s="33">
        <f>$C$28*'E Balans VL '!Y13/100/3.6*1000000</f>
        <v>0.73715943191848377</v>
      </c>
      <c r="O8" s="33"/>
      <c r="P8" s="33"/>
      <c r="R8" s="32"/>
    </row>
    <row r="9" spans="1:18">
      <c r="A9" s="32" t="s">
        <v>50</v>
      </c>
      <c r="B9" s="37">
        <f t="shared" si="0"/>
        <v>234.96961400000001</v>
      </c>
      <c r="C9" s="33"/>
      <c r="D9" s="37">
        <f>IF(ISERROR(TER_gezond_gas_kWh/1000),0,TER_gezond_gas_kWh/1000)*0.902</f>
        <v>505.39534361799997</v>
      </c>
      <c r="E9" s="33">
        <f>$C$29*'E Balans VL '!I10/100/3.6*1000000</f>
        <v>0.44040956606464843</v>
      </c>
      <c r="F9" s="33">
        <f>$C$29*('E Balans VL '!L10+'E Balans VL '!N10)/100/3.6*1000000</f>
        <v>19.316646203330645</v>
      </c>
      <c r="G9" s="34"/>
      <c r="H9" s="33"/>
      <c r="I9" s="33"/>
      <c r="J9" s="33">
        <f>$C$29*('E Balans VL '!D10+'E Balans VL '!E10)/100/3.6*1000000</f>
        <v>0</v>
      </c>
      <c r="K9" s="33"/>
      <c r="L9" s="33"/>
      <c r="M9" s="33"/>
      <c r="N9" s="33">
        <f>$C$29*'E Balans VL '!Y10/100/3.6*1000000</f>
        <v>1.8282389094421665</v>
      </c>
      <c r="O9" s="33"/>
      <c r="P9" s="33"/>
      <c r="R9" s="32"/>
    </row>
    <row r="10" spans="1:18">
      <c r="A10" s="32" t="s">
        <v>49</v>
      </c>
      <c r="B10" s="37">
        <f t="shared" si="0"/>
        <v>368.61508199999997</v>
      </c>
      <c r="C10" s="33"/>
      <c r="D10" s="37">
        <f>IF(ISERROR(TER_ander_gas_kWh/1000),0,TER_ander_gas_kWh/1000)*0.902</f>
        <v>254.50883143399997</v>
      </c>
      <c r="E10" s="33">
        <f>$C$30*'E Balans VL '!I14/100/3.6*1000000</f>
        <v>0.56822388402191337</v>
      </c>
      <c r="F10" s="33">
        <f>$C$30*('E Balans VL '!L14+'E Balans VL '!N14)/100/3.6*1000000</f>
        <v>57.227593242288123</v>
      </c>
      <c r="G10" s="34"/>
      <c r="H10" s="33"/>
      <c r="I10" s="33"/>
      <c r="J10" s="33">
        <f>$C$30*('E Balans VL '!D14+'E Balans VL '!E14)/100/3.6*1000000</f>
        <v>6.2576297675570689E-3</v>
      </c>
      <c r="K10" s="33"/>
      <c r="L10" s="33"/>
      <c r="M10" s="33"/>
      <c r="N10" s="33">
        <f>$C$30*'E Balans VL '!Y14/100/3.6*1000000</f>
        <v>243.86392422650232</v>
      </c>
      <c r="O10" s="33"/>
      <c r="P10" s="33"/>
      <c r="R10" s="32"/>
    </row>
    <row r="11" spans="1:18">
      <c r="A11" s="32" t="s">
        <v>54</v>
      </c>
      <c r="B11" s="37">
        <f t="shared" si="0"/>
        <v>59.332337000000003</v>
      </c>
      <c r="C11" s="33"/>
      <c r="D11" s="37">
        <f>IF(ISERROR(TER_onderwijs_gas_kWh/1000),0,TER_onderwijs_gas_kWh/1000)*0.902</f>
        <v>50.472991206000003</v>
      </c>
      <c r="E11" s="33">
        <f>$C$31*'E Balans VL '!I11/100/3.6*1000000</f>
        <v>1.5133798367100324</v>
      </c>
      <c r="F11" s="33">
        <f>$C$31*('E Balans VL '!L11+'E Balans VL '!N11)/100/3.6*1000000</f>
        <v>7.1352719814726395</v>
      </c>
      <c r="G11" s="34"/>
      <c r="H11" s="33"/>
      <c r="I11" s="33"/>
      <c r="J11" s="33">
        <f>$C$31*('E Balans VL '!D11+'E Balans VL '!E11)/100/3.6*1000000</f>
        <v>0</v>
      </c>
      <c r="K11" s="33"/>
      <c r="L11" s="33"/>
      <c r="M11" s="33"/>
      <c r="N11" s="33">
        <f>$C$31*'E Balans VL '!Y11/100/3.6*1000000</f>
        <v>0.13195366976650263</v>
      </c>
      <c r="O11" s="33"/>
      <c r="P11" s="33"/>
      <c r="R11" s="32"/>
    </row>
    <row r="12" spans="1:18">
      <c r="A12" s="32" t="s">
        <v>254</v>
      </c>
      <c r="B12" s="37">
        <f t="shared" si="0"/>
        <v>2408.602887</v>
      </c>
      <c r="C12" s="33"/>
      <c r="D12" s="37">
        <f>IF(ISERROR(TER_rest_gas_kWh/1000),0,TER_rest_gas_kWh/1000)*0.902</f>
        <v>3677.6766172080002</v>
      </c>
      <c r="E12" s="33">
        <f>$C$32*'E Balans VL '!I8/100/3.6*1000000</f>
        <v>31.091180075565955</v>
      </c>
      <c r="F12" s="33">
        <f>$C$32*('E Balans VL '!L8+'E Balans VL '!N8)/100/3.6*1000000</f>
        <v>276.71547167655154</v>
      </c>
      <c r="G12" s="34"/>
      <c r="H12" s="33"/>
      <c r="I12" s="33"/>
      <c r="J12" s="33">
        <f>$C$32*('E Balans VL '!D8+'E Balans VL '!E8)/100/3.6*1000000</f>
        <v>4.6159599975497843E-3</v>
      </c>
      <c r="K12" s="33"/>
      <c r="L12" s="33"/>
      <c r="M12" s="33"/>
      <c r="N12" s="33">
        <f>$C$32*'E Balans VL '!Y8/100/3.6*1000000</f>
        <v>182.37178241782979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6504.1035569999995</v>
      </c>
      <c r="C16" s="21">
        <f t="shared" ca="1" si="1"/>
        <v>0</v>
      </c>
      <c r="D16" s="21">
        <f t="shared" ca="1" si="1"/>
        <v>7154.2212686340008</v>
      </c>
      <c r="E16" s="21">
        <f t="shared" si="1"/>
        <v>97.733155620060685</v>
      </c>
      <c r="F16" s="21">
        <f t="shared" ca="1" si="1"/>
        <v>729.02395703544073</v>
      </c>
      <c r="G16" s="21">
        <f t="shared" si="1"/>
        <v>0</v>
      </c>
      <c r="H16" s="21">
        <f t="shared" si="1"/>
        <v>0</v>
      </c>
      <c r="I16" s="21">
        <f t="shared" si="1"/>
        <v>0</v>
      </c>
      <c r="J16" s="21">
        <f t="shared" si="1"/>
        <v>1.0873589765106852E-2</v>
      </c>
      <c r="K16" s="21">
        <f t="shared" si="1"/>
        <v>0</v>
      </c>
      <c r="L16" s="21">
        <f t="shared" ca="1" si="1"/>
        <v>0</v>
      </c>
      <c r="M16" s="21">
        <f t="shared" si="1"/>
        <v>0</v>
      </c>
      <c r="N16" s="21">
        <f t="shared" ca="1" si="1"/>
        <v>429.55422992626904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0.20839809473091003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1355.4427892113347</v>
      </c>
      <c r="C20" s="23">
        <f t="shared" ref="C20:P20" ca="1" si="2">C16*C18</f>
        <v>0</v>
      </c>
      <c r="D20" s="23">
        <f t="shared" ca="1" si="2"/>
        <v>1445.1526962640683</v>
      </c>
      <c r="E20" s="23">
        <f t="shared" si="2"/>
        <v>22.185426325753777</v>
      </c>
      <c r="F20" s="23">
        <f t="shared" ca="1" si="2"/>
        <v>194.64939652846269</v>
      </c>
      <c r="G20" s="23">
        <f t="shared" si="2"/>
        <v>0</v>
      </c>
      <c r="H20" s="23">
        <f t="shared" si="2"/>
        <v>0</v>
      </c>
      <c r="I20" s="23">
        <f t="shared" si="2"/>
        <v>0</v>
      </c>
      <c r="J20" s="23">
        <f t="shared" si="2"/>
        <v>3.8492507768478255E-3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994.36418600000002</v>
      </c>
      <c r="C26" s="39">
        <f>IF(ISERROR(B26*3.6/1000000/'E Balans VL '!Z12*100),0,B26*3.6/1000000/'E Balans VL '!Z12*100)</f>
        <v>2.1094526467228449E-2</v>
      </c>
      <c r="D26" s="235" t="s">
        <v>698</v>
      </c>
      <c r="F26" s="6"/>
    </row>
    <row r="27" spans="1:18">
      <c r="A27" s="229" t="s">
        <v>52</v>
      </c>
      <c r="B27" s="33">
        <f>IF(ISERROR(TER_horeca_ele_kWh/1000),0,TER_horeca_ele_kWh/1000)</f>
        <v>578.63749399999995</v>
      </c>
      <c r="C27" s="39">
        <f>IF(ISERROR(B27*3.6/1000000/'E Balans VL '!Z9*100),0,B27*3.6/1000000/'E Balans VL '!Z9*100)</f>
        <v>4.3576529162235061E-2</v>
      </c>
      <c r="D27" s="235" t="s">
        <v>698</v>
      </c>
      <c r="F27" s="6"/>
    </row>
    <row r="28" spans="1:18">
      <c r="A28" s="169" t="s">
        <v>51</v>
      </c>
      <c r="B28" s="33">
        <f>IF(ISERROR(TER_handel_ele_kWh/1000),0,TER_handel_ele_kWh/1000)</f>
        <v>1859.5819569999999</v>
      </c>
      <c r="C28" s="39">
        <f>IF(ISERROR(B28*3.6/1000000/'E Balans VL '!Z13*100),0,B28*3.6/1000000/'E Balans VL '!Z13*100)</f>
        <v>5.3977075198749662E-2</v>
      </c>
      <c r="D28" s="235" t="s">
        <v>698</v>
      </c>
      <c r="F28" s="6"/>
    </row>
    <row r="29" spans="1:18">
      <c r="A29" s="229" t="s">
        <v>50</v>
      </c>
      <c r="B29" s="33">
        <f>IF(ISERROR(TER_gezond_ele_kWh/1000),0,TER_gezond_ele_kWh/1000)</f>
        <v>234.96961400000001</v>
      </c>
      <c r="C29" s="39">
        <f>IF(ISERROR(B29*3.6/1000000/'E Balans VL '!Z10*100),0,B29*3.6/1000000/'E Balans VL '!Z10*100)</f>
        <v>2.3696965784577511E-2</v>
      </c>
      <c r="D29" s="235" t="s">
        <v>698</v>
      </c>
      <c r="F29" s="6"/>
    </row>
    <row r="30" spans="1:18">
      <c r="A30" s="229" t="s">
        <v>49</v>
      </c>
      <c r="B30" s="33">
        <f>IF(ISERROR(TER_ander_ele_kWh/1000),0,TER_ander_ele_kWh/1000)</f>
        <v>368.61508199999997</v>
      </c>
      <c r="C30" s="39">
        <f>IF(ISERROR(B30*3.6/1000000/'E Balans VL '!Z14*100),0,B30*3.6/1000000/'E Balans VL '!Z14*100)</f>
        <v>2.6748053030880351E-2</v>
      </c>
      <c r="D30" s="235" t="s">
        <v>698</v>
      </c>
      <c r="F30" s="6"/>
    </row>
    <row r="31" spans="1:18">
      <c r="A31" s="229" t="s">
        <v>54</v>
      </c>
      <c r="B31" s="33">
        <f>IF(ISERROR(TER_onderwijs_ele_kWh/1000),0,TER_onderwijs_ele_kWh/1000)</f>
        <v>59.332337000000003</v>
      </c>
      <c r="C31" s="39">
        <f>IF(ISERROR(B31*3.6/1000000/'E Balans VL '!Z11*100),0,B31*3.6/1000000/'E Balans VL '!Z11*100)</f>
        <v>1.6912132170266193E-2</v>
      </c>
      <c r="D31" s="235" t="s">
        <v>698</v>
      </c>
    </row>
    <row r="32" spans="1:18">
      <c r="A32" s="229" t="s">
        <v>254</v>
      </c>
      <c r="B32" s="33">
        <f>IF(ISERROR(TER_rest_ele_kWh/1000),0,TER_rest_ele_kWh/1000)</f>
        <v>2408.602887</v>
      </c>
      <c r="C32" s="39">
        <f>IF(ISERROR(B32*3.6/1000000/'E Balans VL '!Z8*100),0,B32*3.6/1000000/'E Balans VL '!Z8*100)</f>
        <v>1.9730784240865201E-2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16009.199091999999</v>
      </c>
      <c r="C5" s="17">
        <f>IF(ISERROR('Eigen informatie GS &amp; warmtenet'!B61),0,'Eigen informatie GS &amp; warmtenet'!B61)</f>
        <v>0</v>
      </c>
      <c r="D5" s="30">
        <f>SUM(D6:D15)</f>
        <v>16428.180702692003</v>
      </c>
      <c r="E5" s="17">
        <f>SUM(E6:E15)</f>
        <v>402.01131788016056</v>
      </c>
      <c r="F5" s="17">
        <f>SUM(F6:F15)</f>
        <v>1897.1082190397315</v>
      </c>
      <c r="G5" s="18"/>
      <c r="H5" s="17"/>
      <c r="I5" s="17"/>
      <c r="J5" s="17">
        <f>SUM(J6:J15)</f>
        <v>37.162127053818594</v>
      </c>
      <c r="K5" s="17"/>
      <c r="L5" s="17"/>
      <c r="M5" s="17"/>
      <c r="N5" s="17">
        <f>SUM(N6:N15)</f>
        <v>854.53230920263354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613.91401599999995</v>
      </c>
      <c r="C9" s="33"/>
      <c r="D9" s="37">
        <f>IF( ISERROR(IND_andere_gas_kWh/1000),0,IND_andere_gas_kWh/1000)*0.902</f>
        <v>488.28913190200001</v>
      </c>
      <c r="E9" s="33">
        <f>C31*'E Balans VL '!I19/100/3.6*1000000</f>
        <v>170.1237828924431</v>
      </c>
      <c r="F9" s="33">
        <f>C31*'E Balans VL '!L19/100/3.6*1000000+C31*'E Balans VL '!N19/100/3.6*1000000</f>
        <v>508.81326313921318</v>
      </c>
      <c r="G9" s="34"/>
      <c r="H9" s="33"/>
      <c r="I9" s="33"/>
      <c r="J9" s="40">
        <f>C31*'E Balans VL '!D19/100/3.6*1000000+C31*'E Balans VL '!E19/100/3.6*1000000</f>
        <v>0</v>
      </c>
      <c r="K9" s="33"/>
      <c r="L9" s="33"/>
      <c r="M9" s="33"/>
      <c r="N9" s="33">
        <f>C31*'E Balans VL '!Y19/100/3.6*1000000</f>
        <v>44.562648580275038</v>
      </c>
      <c r="O9" s="33"/>
      <c r="P9" s="33"/>
      <c r="R9" s="32"/>
    </row>
    <row r="10" spans="1:18">
      <c r="A10" s="6" t="s">
        <v>40</v>
      </c>
      <c r="B10" s="37">
        <f t="shared" si="0"/>
        <v>10896.899089999999</v>
      </c>
      <c r="C10" s="33"/>
      <c r="D10" s="37">
        <f>IF( ISERROR(IND_voed_gas_kWh/1000),0,IND_voed_gas_kWh/1000)*0.902</f>
        <v>107.57118955</v>
      </c>
      <c r="E10" s="33">
        <f>C32*'E Balans VL '!I20/100/3.6*1000000</f>
        <v>19.291202405663412</v>
      </c>
      <c r="F10" s="33">
        <f>C32*'E Balans VL '!L20/100/3.6*1000000+C32*'E Balans VL '!N20/100/3.6*1000000</f>
        <v>588.52912921031248</v>
      </c>
      <c r="G10" s="34"/>
      <c r="H10" s="33"/>
      <c r="I10" s="33"/>
      <c r="J10" s="40">
        <f>C32*'E Balans VL '!D20/100/3.6*1000000+C32*'E Balans VL '!E20/100/3.6*1000000</f>
        <v>0</v>
      </c>
      <c r="K10" s="33"/>
      <c r="L10" s="33"/>
      <c r="M10" s="33"/>
      <c r="N10" s="33">
        <f>C32*'E Balans VL '!Y20/100/3.6*1000000</f>
        <v>633.19305778435364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4498.3859859999993</v>
      </c>
      <c r="C15" s="33"/>
      <c r="D15" s="37">
        <f>IF( ISERROR(IND_rest_gas_kWh/1000),0,IND_rest_gas_kWh/1000)*0.902</f>
        <v>15832.320381240002</v>
      </c>
      <c r="E15" s="33">
        <f>C37*'E Balans VL '!I15/100/3.6*1000000</f>
        <v>212.59633258205406</v>
      </c>
      <c r="F15" s="33">
        <f>C37*'E Balans VL '!L15/100/3.6*1000000+C37*'E Balans VL '!N15/100/3.6*1000000</f>
        <v>799.76582669020593</v>
      </c>
      <c r="G15" s="34"/>
      <c r="H15" s="33"/>
      <c r="I15" s="33"/>
      <c r="J15" s="40">
        <f>C37*'E Balans VL '!D15/100/3.6*1000000+C37*'E Balans VL '!E15/100/3.6*1000000</f>
        <v>37.162127053818594</v>
      </c>
      <c r="K15" s="33"/>
      <c r="L15" s="33"/>
      <c r="M15" s="33"/>
      <c r="N15" s="33">
        <f>C37*'E Balans VL '!Y15/100/3.6*1000000</f>
        <v>176.77660283800486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16009.199091999999</v>
      </c>
      <c r="C18" s="21">
        <f>C5+C16</f>
        <v>0</v>
      </c>
      <c r="D18" s="21">
        <f>MAX((D5+D16),0)</f>
        <v>16428.180702692003</v>
      </c>
      <c r="E18" s="21">
        <f>MAX((E5+E16),0)</f>
        <v>402.01131788016056</v>
      </c>
      <c r="F18" s="21">
        <f>MAX((F5+F16),0)</f>
        <v>1897.1082190397315</v>
      </c>
      <c r="G18" s="21"/>
      <c r="H18" s="21"/>
      <c r="I18" s="21"/>
      <c r="J18" s="21">
        <f>MAX((J5+J16),0)</f>
        <v>37.162127053818594</v>
      </c>
      <c r="K18" s="21"/>
      <c r="L18" s="21">
        <f>MAX((L5+L16),0)</f>
        <v>0</v>
      </c>
      <c r="M18" s="21"/>
      <c r="N18" s="21">
        <f>MAX((N5+N16),0)</f>
        <v>854.53230920263354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0.20839809473091003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3336.2865889406148</v>
      </c>
      <c r="C22" s="23">
        <f ca="1">C18*C20</f>
        <v>0</v>
      </c>
      <c r="D22" s="23">
        <f>D18*D20</f>
        <v>3318.4925019437846</v>
      </c>
      <c r="E22" s="23">
        <f>E18*E20</f>
        <v>91.256569158796452</v>
      </c>
      <c r="F22" s="23">
        <f>F18*F20</f>
        <v>506.52789448360835</v>
      </c>
      <c r="G22" s="23"/>
      <c r="H22" s="23"/>
      <c r="I22" s="23"/>
      <c r="J22" s="23">
        <f>J18*J20</f>
        <v>13.155392977051781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613.91401599999995</v>
      </c>
      <c r="C31" s="39">
        <f>IF(ISERROR(B31*3.6/1000000/'E Balans VL '!Z19*100),0,B31*3.6/1000000/'E Balans VL '!Z19*100)</f>
        <v>3.0877885079568977E-2</v>
      </c>
      <c r="D31" s="235" t="s">
        <v>698</v>
      </c>
    </row>
    <row r="32" spans="1:18">
      <c r="A32" s="169" t="s">
        <v>40</v>
      </c>
      <c r="B32" s="37">
        <f>IF( ISERROR(IND_voed_ele_kWh/1000),0,IND_voed_ele_kWh/1000)</f>
        <v>10896.899089999999</v>
      </c>
      <c r="C32" s="39">
        <f>IF(ISERROR(B32*3.6/1000000/'E Balans VL '!Z20*100),0,B32*3.6/1000000/'E Balans VL '!Z20*100)</f>
        <v>0.36293144818715761</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4498.3859859999993</v>
      </c>
      <c r="C37" s="39">
        <f>IF(ISERROR(B37*3.6/1000000/'E Balans VL '!Z15*100),0,B37*3.6/1000000/'E Balans VL '!Z15*100)</f>
        <v>3.5099712117435962E-2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1400.7204199999999</v>
      </c>
      <c r="C5" s="17">
        <f>'Eigen informatie GS &amp; warmtenet'!B62</f>
        <v>0</v>
      </c>
      <c r="D5" s="30">
        <f>IF(ISERROR(SUM(LB_lb_gas_kWh,LB_rest_gas_kWh)/1000),0,SUM(LB_lb_gas_kWh,LB_rest_gas_kWh)/1000)*0.902</f>
        <v>91.72023440800001</v>
      </c>
      <c r="E5" s="17">
        <f>B17*'E Balans VL '!I25/3.6*1000000/100</f>
        <v>43.716022407589186</v>
      </c>
      <c r="F5" s="17">
        <f>B17*('E Balans VL '!L25/3.6*1000000+'E Balans VL '!N25/3.6*1000000)/100</f>
        <v>4950.3011319023271</v>
      </c>
      <c r="G5" s="18"/>
      <c r="H5" s="17"/>
      <c r="I5" s="17"/>
      <c r="J5" s="17">
        <f>('E Balans VL '!D25+'E Balans VL '!E25)/3.6*1000000*landbouw!B17/100</f>
        <v>385.90818962098064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1400.7204199999999</v>
      </c>
      <c r="C8" s="21">
        <f>C5+C6</f>
        <v>0</v>
      </c>
      <c r="D8" s="21">
        <f>MAX((D5+D6),0)</f>
        <v>91.72023440800001</v>
      </c>
      <c r="E8" s="21">
        <f>MAX((E5+E6),0)</f>
        <v>43.716022407589186</v>
      </c>
      <c r="F8" s="21">
        <f>MAX((F5+F6),0)</f>
        <v>4950.3011319023271</v>
      </c>
      <c r="G8" s="21"/>
      <c r="H8" s="21"/>
      <c r="I8" s="21"/>
      <c r="J8" s="21">
        <f>MAX((J5+J6),0)</f>
        <v>385.90818962098064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0.20839809473091003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291.90746677868009</v>
      </c>
      <c r="C12" s="23">
        <f ca="1">C8*C10</f>
        <v>0</v>
      </c>
      <c r="D12" s="23">
        <f>D8*D10</f>
        <v>18.527487350416003</v>
      </c>
      <c r="E12" s="23">
        <f>E8*E10</f>
        <v>9.9235370865227459</v>
      </c>
      <c r="F12" s="23">
        <f>F8*F10</f>
        <v>1321.7304022179214</v>
      </c>
      <c r="G12" s="23"/>
      <c r="H12" s="23"/>
      <c r="I12" s="23"/>
      <c r="J12" s="23">
        <f>J8*J10</f>
        <v>136.61149912582715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0.20822713174810581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337.50368788708977</v>
      </c>
      <c r="C26" s="245">
        <f>B26*'GWP N2O_CH4'!B5</f>
        <v>7087.5774456288855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102.01021249493705</v>
      </c>
      <c r="C27" s="245">
        <f>B27*'GWP N2O_CH4'!B5</f>
        <v>2142.2144623936779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4.5213492541811622</v>
      </c>
      <c r="C28" s="245">
        <f>B28*'GWP N2O_CH4'!B4</f>
        <v>1401.6182687961602</v>
      </c>
      <c r="D28" s="50"/>
    </row>
    <row r="29" spans="1:4">
      <c r="A29" s="41" t="s">
        <v>271</v>
      </c>
      <c r="B29" s="245">
        <f>B34*'ha_N2O bodem landbouw'!B4</f>
        <v>9.630040927187542</v>
      </c>
      <c r="C29" s="245">
        <f>B29*'GWP N2O_CH4'!B4</f>
        <v>2985.3126874281379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2.1116945903438635E-3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1.8972825585319533E-4</v>
      </c>
      <c r="C5" s="433" t="s">
        <v>210</v>
      </c>
      <c r="D5" s="418">
        <f>SUM(D6:D11)</f>
        <v>3.6222030708828569E-4</v>
      </c>
      <c r="E5" s="418">
        <f>SUM(E6:E11)</f>
        <v>3.0999075872103408E-4</v>
      </c>
      <c r="F5" s="431" t="s">
        <v>210</v>
      </c>
      <c r="G5" s="418">
        <f>SUM(G6:G11)</f>
        <v>0.13239055109922054</v>
      </c>
      <c r="H5" s="418">
        <f>SUM(H6:H11)</f>
        <v>3.2050606052298945E-2</v>
      </c>
      <c r="I5" s="433" t="s">
        <v>210</v>
      </c>
      <c r="J5" s="433" t="s">
        <v>210</v>
      </c>
      <c r="K5" s="433" t="s">
        <v>210</v>
      </c>
      <c r="L5" s="433" t="s">
        <v>210</v>
      </c>
      <c r="M5" s="418">
        <f>SUM(M6:M11)</f>
        <v>9.7533112995314992E-3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9.5440803912015063E-5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1.611133572430995E-4</v>
      </c>
      <c r="E6" s="884">
        <f>vkm_GW_PW*SUMIFS(TableVerdeelsleutelVkm[LPG],TableVerdeelsleutelVkm[Voertuigtype],"Lichte voertuigen")*SUMIFS(TableECFTransport[EnergieConsumptieFactor (PJ per km)],TableECFTransport[Index],CONCATENATE($A6,"_LPG_LPG"))</f>
        <v>1.4117919312022146E-4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4.4101637988624667E-2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1.4371338764909782E-2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3.4936342664865653E-3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8.1512477503500715E-7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3.1111033221736476E-2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4.3245333515137142E-7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1.7933139963525009E-3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9.3299974261799358E-5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2.0110694984518617E-4</v>
      </c>
      <c r="E8" s="421">
        <f>vkm_NGW_PW*SUMIFS(TableVerdeelsleutelVkm[LPG],TableVerdeelsleutelVkm[Voertuigtype],"Lichte voertuigen")*SUMIFS(TableECFTransport[EnergieConsumptieFactor (PJ per km)],TableECFTransport[Index],CONCATENATE($A8,"_LPG_LPG"))</f>
        <v>1.6881156560081263E-4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4.8721058816942067E-2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1.7678724464265629E-2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3.9788922192175958E-3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1.7235290434589618E-7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8.4568210719173399E-3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1.1036978838266321E-7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4.8747081747483581E-4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52.702293292554259</v>
      </c>
      <c r="C14" s="21"/>
      <c r="D14" s="21">
        <f t="shared" ref="D14:M14" si="0">((D5)*10^9/3600)+D12</f>
        <v>100.61675196896825</v>
      </c>
      <c r="E14" s="21">
        <f t="shared" si="0"/>
        <v>86.108544089176135</v>
      </c>
      <c r="F14" s="21"/>
      <c r="G14" s="21">
        <f t="shared" si="0"/>
        <v>36775.15308311682</v>
      </c>
      <c r="H14" s="21">
        <f t="shared" si="0"/>
        <v>8902.9461256385948</v>
      </c>
      <c r="I14" s="21"/>
      <c r="J14" s="21"/>
      <c r="K14" s="21"/>
      <c r="L14" s="21"/>
      <c r="M14" s="21">
        <f t="shared" si="0"/>
        <v>2709.2531387587496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0.20839809473091003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10.983057510117927</v>
      </c>
      <c r="C18" s="23"/>
      <c r="D18" s="23">
        <f t="shared" ref="D18:M18" si="1">D14*D16</f>
        <v>20.324583897731586</v>
      </c>
      <c r="E18" s="23">
        <f t="shared" si="1"/>
        <v>19.546639508242983</v>
      </c>
      <c r="F18" s="23"/>
      <c r="G18" s="23">
        <f t="shared" si="1"/>
        <v>9818.9658731921918</v>
      </c>
      <c r="H18" s="23">
        <f t="shared" si="1"/>
        <v>2216.83358528401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3.1575912815106862E-5</v>
      </c>
      <c r="C50" s="315">
        <f t="shared" ref="C50:P50" si="2">SUM(C51:C52)</f>
        <v>0</v>
      </c>
      <c r="D50" s="315">
        <f t="shared" si="2"/>
        <v>0</v>
      </c>
      <c r="E50" s="315">
        <f t="shared" si="2"/>
        <v>0</v>
      </c>
      <c r="F50" s="315">
        <f t="shared" si="2"/>
        <v>0</v>
      </c>
      <c r="G50" s="315">
        <f t="shared" si="2"/>
        <v>2.2877224407977137E-3</v>
      </c>
      <c r="H50" s="315">
        <f t="shared" si="2"/>
        <v>0</v>
      </c>
      <c r="I50" s="315">
        <f t="shared" si="2"/>
        <v>0</v>
      </c>
      <c r="J50" s="315">
        <f t="shared" si="2"/>
        <v>0</v>
      </c>
      <c r="K50" s="315">
        <f t="shared" si="2"/>
        <v>0</v>
      </c>
      <c r="L50" s="315">
        <f t="shared" si="2"/>
        <v>0</v>
      </c>
      <c r="M50" s="315">
        <f t="shared" si="2"/>
        <v>1.294003940913433E-4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3.1575912815106862E-5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2.2877224407977137E-3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1.294003940913433E-4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8.7710868930852399</v>
      </c>
      <c r="C54" s="21">
        <f t="shared" ref="C54:P54" si="3">(C50)*10^9/3600</f>
        <v>0</v>
      </c>
      <c r="D54" s="21">
        <f t="shared" si="3"/>
        <v>0</v>
      </c>
      <c r="E54" s="21">
        <f t="shared" si="3"/>
        <v>0</v>
      </c>
      <c r="F54" s="21">
        <f t="shared" si="3"/>
        <v>0</v>
      </c>
      <c r="G54" s="21">
        <f t="shared" si="3"/>
        <v>635.4784557771427</v>
      </c>
      <c r="H54" s="21">
        <f t="shared" si="3"/>
        <v>0</v>
      </c>
      <c r="I54" s="21">
        <f t="shared" si="3"/>
        <v>0</v>
      </c>
      <c r="J54" s="21">
        <f t="shared" si="3"/>
        <v>0</v>
      </c>
      <c r="K54" s="21">
        <f t="shared" si="3"/>
        <v>0</v>
      </c>
      <c r="L54" s="21">
        <f t="shared" si="3"/>
        <v>0</v>
      </c>
      <c r="M54" s="21">
        <f t="shared" si="3"/>
        <v>35.944553914262031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0.20839809473091003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1.8278777972382212</v>
      </c>
      <c r="C58" s="23">
        <f t="shared" ref="C58:P58" ca="1" si="4">C54*C56</f>
        <v>0</v>
      </c>
      <c r="D58" s="23">
        <f t="shared" si="4"/>
        <v>0</v>
      </c>
      <c r="E58" s="23">
        <f t="shared" si="4"/>
        <v>0</v>
      </c>
      <c r="F58" s="23">
        <f t="shared" si="4"/>
        <v>0</v>
      </c>
      <c r="G58" s="23">
        <f t="shared" si="4"/>
        <v>169.6727476924971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2309.4841757706968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2309.4841757706968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2021-06-29T15:31:39Z</dcterms:modified>
</cp:coreProperties>
</file>