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B13" i="15"/>
  <c r="F6" i="17"/>
  <c r="F8" i="17" s="1"/>
  <c r="G24" i="14" s="1"/>
  <c r="G26" i="14" s="1"/>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<sst xmlns="http://schemas.openxmlformats.org/spreadsheetml/2006/main" count="2484" uniqueCount="906">
  <si>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</si>
  <si>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</si>
  <si>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</si>
  <si>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</si>
  <si>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</si>
  <si>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</si>
  <si>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</si>
  <si>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</si>
  <si>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</si>
  <si>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</si>
  <si>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</si>
  <si>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</si>
  <si>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</si>
  <si>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</si>
  <si>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</si>
  <si>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</si>
  <si>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</si>
  <si>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</si>
  <si>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</si>
  <si>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</si>
  <si>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</si>
  <si>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</si>
  <si>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</si>
  <si>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</si>
  <si>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</si>
  <si>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</si>
  <si>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</si>
  <si>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</si>
  <si>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</si>
  <si>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</si>
  <si>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</si>
  <si>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</si>
  <si>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</si>
  <si>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</si>
  <si>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</si>
  <si>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</si>
  <si>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</si>
  <si>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</si>
  <si>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</si>
  <si>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</si>
  <si>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</si>
  <si>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</si>
  <si>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</si>
  <si>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</si>
  <si>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</si>
  <si>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</si>
  <si>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</si>
  <si>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</si>
  <si>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</si>
  <si>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</si>
  <si>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</si>
  <si>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</si>
  <si>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</si>
  <si>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</si>
  <si>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</si>
  <si>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</si>
  <si>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</si>
  <si>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</si>
  <si>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</si>
  <si>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</si>
  <si>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</si>
  <si>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</si>
  <si>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</si>
  <si>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</si>
  <si>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</si>
  <si>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</si>
  <si>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</si>
  <si>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</si>
  <si>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</si>
  <si>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</si>
  <si>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</si>
  <si>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</si>
  <si>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</si>
  <si>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</si>
  <si>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</si>
  <si>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</si>
  <si>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</si>
  <si>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</si>
  <si>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</si>
  <si>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</si>
  <si>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</si>
  <si>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</si>
  <si>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</si>
  <si>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</si>
  <si>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</si>
  <si>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</si>
  <si>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</si>
  <si>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</si>
  <si>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</si>
  <si>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</si>
  <si>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</si>
  <si>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</si>
  <si>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</si>
  <si>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</si>
  <si>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</si>
  <si>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</si>
  <si>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</si>
  <si>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</si>
  <si>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</si>
  <si>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</si>
  <si>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</si>
  <si>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</si>
  <si>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</si>
  <si>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</si>
  <si>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</si>
  <si>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</si>
  <si>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</si>
  <si>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</si>
  <si>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</si>
  <si>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</si>
  <si>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</si>
  <si>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</si>
  <si>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</si>
  <si>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</si>
  <si>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</si>
  <si>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</si>
  <si>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</si>
  <si>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</si>
  <si>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</si>
  <si>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</si>
  <si>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</si>
  <si>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</si>
  <si>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</si>
  <si>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</si>
  <si>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</si>
  <si>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</si>
  <si>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</si>
  <si>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</si>
  <si>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</si>
  <si>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</si>
  <si>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</si>
  <si>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</si>
  <si>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</si>
  <si>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</si>
  <si>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</si>
  <si>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</si>
  <si>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</si>
  <si>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</si>
  <si>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</si>
  <si>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</si>
  <si>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</si>
  <si>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</si>
  <si>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</si>
  <si>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</si>
  <si>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</si>
  <si>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</si>
  <si>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</si>
  <si>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</si>
  <si>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</si>
  <si>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</si>
  <si>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</si>
  <si>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</si>
  <si>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</si>
  <si>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</si>
  <si>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</si>
  <si>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</si>
  <si>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</si>
  <si>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</si>
  <si>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</si>
  <si>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</si>
  <si>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</si>
  <si>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</si>
  <si>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</si>
  <si>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</si>
  <si>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</si>
  <si>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</si>
  <si>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</si>
  <si>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</si>
  <si>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</si>
  <si>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</si>
  <si>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</si>
  <si>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</si>
  <si>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</si>
  <si>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</si>
  <si>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</si>
  <si>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</si>
  <si>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</si>
  <si>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</si>
  <si>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</si>
  <si>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</si>
  <si>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</si>
  <si>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</si>
  <si>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</si>
  <si>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</si>
  <si>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</si>
  <si>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</si>
  <si>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</si>
  <si>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</si>
  <si>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</si>
  <si>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</si>
  <si>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</si>
  <si>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</si>
  <si>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</si>
  <si>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</si>
  <si>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</si>
  <si>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</si>
  <si>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</si>
  <si>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</si>
  <si>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</si>
  <si>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</si>
  <si>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</si>
  <si>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</si>
  <si>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</si>
  <si>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</si>
  <si>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</si>
  <si>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</si>
  <si>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</si>
  <si>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</si>
  <si>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</si>
  <si>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</si>
  <si>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</si>
  <si>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</si>
  <si>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</si>
  <si>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</si>
  <si>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</si>
  <si>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</si>
  <si>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</si>
  <si>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</si>
  <si>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</si>
  <si>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</si>
  <si>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</si>
  <si>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</si>
  <si>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</si>
  <si>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</si>
  <si>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</si>
  <si>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</si>
  <si>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</si>
  <si>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</si>
  <si>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</si>
  <si>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</si>
  <si>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</si>
  <si>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</si>
  <si>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</si>
  <si>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</si>
  <si>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</si>
  <si>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</si>
  <si>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</si>
  <si>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</si>
  <si>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</si>
  <si>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</si>
  <si>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</si>
  <si>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</si>
  <si>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</si>
  <si>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</si>
  <si>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</si>
  <si>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</si>
  <si>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</si>
  <si>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</si>
  <si>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</si>
  <si>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</si>
  <si>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</si>
  <si>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</si>
  <si>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</si>
  <si>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</si>
  <si>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</si>
  <si>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</si>
  <si>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</si>
  <si>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</si>
  <si>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</si>
  <si>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</si>
  <si>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</si>
  <si>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</si>
  <si>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</si>
  <si>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</si>
  <si>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</si>
  <si>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</si>
  <si>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</si>
  <si>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</si>
  <si>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</si>
  <si>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</si>
  <si>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</si>
  <si>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</si>
  <si>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</si>
  <si>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</si>
  <si>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</si>
  <si>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</si>
  <si>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</si>
  <si>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</si>
  <si>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</si>
  <si>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</si>
  <si>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</si>
  <si>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</si>
  <si>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</si>
  <si>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</si>
  <si>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</si>
  <si>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</si>
  <si>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</si>
  <si>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</si>
  <si>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</si>
  <si>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</si>
  <si>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</si>
  <si>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</si>
  <si>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</si>
  <si>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</si>
  <si>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</si>
  <si>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</si>
  <si>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</si>
  <si>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</si>
  <si>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</si>
  <si>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</si>
  <si>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</si>
  <si>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</si>
  <si>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</si>
  <si>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</si>
  <si>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</si>
  <si>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</si>
  <si>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</si>
  <si>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</si>
  <si>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</si>
  <si>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</si>
  <si>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</si>
  <si>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</si>
  <si>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</si>
  <si>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</si>
  <si>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</si>
  <si>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</si>
  <si>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</si>
  <si>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</si>
  <si>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</si>
  <si>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</si>
  <si>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</si>
  <si>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</si>
  <si>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</si>
  <si>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</si>
  <si>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</si>
  <si>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</si>
  <si>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</si>
  <si>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</si>
  <si>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</si>
  <si>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</si>
  <si>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</si>
  <si>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</si>
  <si>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</si>
  <si>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</si>
  <si>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</si>
  <si>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</si>
  <si>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</si>
  <si>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</si>
  <si>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</si>
  <si>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</si>
  <si>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</si>
  <si>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</si>
  <si>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</si>
  <si>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</si>
  <si>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</si>
  <si>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</si>
  <si>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</si>
  <si>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</si>
  <si>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</si>
  <si>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</si>
  <si>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</si>
  <si>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</si>
  <si>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</si>
  <si>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</si>
  <si>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</si>
  <si>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</si>
  <si>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</si>
  <si>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</si>
  <si>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</si>
  <si>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</si>
  <si>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</si>
  <si>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</si>
  <si>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</si>
  <si>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</si>
  <si>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</si>
  <si>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</si>
  <si>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</si>
  <si>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</si>
  <si>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</si>
  <si>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</si>
  <si>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</si>
  <si>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</si>
  <si>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</si>
  <si>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</si>
  <si>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</si>
  <si>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</si>
  <si>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</si>
  <si>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</si>
  <si>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</si>
  <si>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</si>
  <si>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</si>
  <si>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</si>
  <si>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</si>
  <si>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</si>
  <si>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</si>
  <si>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</si>
  <si>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</si>
  <si>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</si>
  <si>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</si>
  <si>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</si>
  <si>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</si>
  <si>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</si>
  <si>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</si>
  <si>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</si>
  <si>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</si>
  <si>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</si>
  <si>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</si>
  <si>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</si>
  <si>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</si>
  <si>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</si>
  <si>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</si>
  <si>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</si>
  <si>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</si>
  <si>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</si>
  <si>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</si>
  <si>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</si>
  <si>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</si>
  <si>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</si>
  <si>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</si>
  <si>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</si>
  <si>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</si>
  <si>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</si>
  <si>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</si>
  <si>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</si>
  <si>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</si>
  <si>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</si>
  <si>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</si>
  <si>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</si>
  <si>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</si>
  <si>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</si>
  <si>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</si>
  <si>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</si>
  <si>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</si>
  <si>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</si>
  <si>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</si>
  <si>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</si>
  <si>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</si>
  <si>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</si>
  <si>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</si>
  <si>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</si>
  <si>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</si>
  <si>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</si>
  <si>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</si>
  <si>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</si>
  <si>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</si>
  <si>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</si>
  <si>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</si>
  <si>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</si>
  <si>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</si>
  <si>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</si>
  <si>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</si>
  <si>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</si>
  <si>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</si>
  <si>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</si>
  <si>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</si>
  <si>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</si>
  <si>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</si>
  <si>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</si>
  <si>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</si>
  <si>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</si>
  <si>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</si>
  <si>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</si>
  <si>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</si>
  <si>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</si>
  <si>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</si>
  <si>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</si>
  <si>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</si>
  <si>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</si>
  <si>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</si>
  <si>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</si>
  <si>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</si>
  <si>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</si>
  <si>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</si>
  <si>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</si>
  <si>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</si>
  <si>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</si>
  <si>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</si>
  <si>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</si>
  <si>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</si>
  <si>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</si>
  <si>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</si>
  <si>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</si>
  <si>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</si>
  <si>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</si>
  <si>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</si>
  <si>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</si>
  <si>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</si>
  <si>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</si>
  <si>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</si>
  <si>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</si>
  <si>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</si>
  <si>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</si>
  <si>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</si>
  <si>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</si>
  <si>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</si>
  <si>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</si>
  <si>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</si>
  <si>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</si>
  <si>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</si>
  <si>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</si>
  <si>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</si>
  <si>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</si>
  <si>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</si>
  <si>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</si>
  <si>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</si>
  <si>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</si>
  <si>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</si>
  <si>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</si>
  <si>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</si>
  <si>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</si>
  <si>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</si>
  <si>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</si>
  <si>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</si>
  <si>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</si>
  <si>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</si>
  <si>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</si>
  <si>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</si>
  <si>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</si>
  <si>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</si>
  <si>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</si>
  <si>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</si>
  <si>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</si>
  <si>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</si>
  <si>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</si>
  <si>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</si>
  <si>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</si>
  <si>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</si>
  <si>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</si>
  <si>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</si>
  <si>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</si>
  <si>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</si>
  <si>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</si>
  <si>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</si>
  <si>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</si>
  <si>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</si>
  <si>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</si>
  <si>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</si>
  <si>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</si>
  <si>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</si>
  <si>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</si>
  <si>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</si>
  <si>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</si>
  <si>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</si>
  <si>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</si>
  <si>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</si>
  <si>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</si>
  <si>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</si>
  <si>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</si>
  <si>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</si>
  <si>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</si>
  <si>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</si>
  <si>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</si>
  <si>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</si>
  <si>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</si>
  <si>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</si>
  <si>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</si>
  <si>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</si>
  <si>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</si>
  <si>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</si>
  <si>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</si>
  <si>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</si>
  <si>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</si>
  <si>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</si>
  <si>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</si>
  <si>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</si>
  <si>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</si>
  <si>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</si>
  <si>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</si>
  <si>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</si>
  <si>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</si>
  <si>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</si>
  <si>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</si>
  <si>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</si>
  <si>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</si>
  <si>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</si>
  <si>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</si>
  <si>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</si>
  <si>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</si>
  <si>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</si>
  <si>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</si>
  <si>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</si>
  <si>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</si>
  <si>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</si>
  <si>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</si>
  <si>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</si>
  <si>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</si>
  <si>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</si>
  <si>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</si>
  <si>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</si>
  <si>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</si>
  <si>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</si>
  <si>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</si>
  <si>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</si>
  <si>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</si>
  <si>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</si>
  <si>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</si>
  <si>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</si>
  <si>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</si>
  <si>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</si>
  <si>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</si>
  <si>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</si>
  <si>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</si>
  <si>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</si>
  <si>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</si>
  <si>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</si>
  <si>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</si>
  <si>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</si>
  <si>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</si>
  <si>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</si>
  <si>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</si>
  <si>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</si>
  <si>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</si>
  <si>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</si>
  <si>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</si>
  <si>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</si>
  <si>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</si>
  <si>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</si>
  <si>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</si>
  <si>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</si>
  <si>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</si>
  <si>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</si>
  <si>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</si>
  <si>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</si>
  <si>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</si>
  <si>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</si>
  <si>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</si>
  <si>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</si>
  <si>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</si>
  <si>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</si>
  <si>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</si>
  <si>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</si>
  <si>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</si>
  <si>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</si>
  <si>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</si>
  <si>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</si>
  <si>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</si>
  <si>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</si>
  <si>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</si>
  <si>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</si>
  <si>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</si>
  <si>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</si>
  <si>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</si>
  <si>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</si>
  <si>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</si>
  <si>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</si>
  <si>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</si>
  <si>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</si>
  <si>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</si>
  <si>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</si>
  <si>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</si>
  <si>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</si>
  <si>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</si>
  <si>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</si>
  <si>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</si>
  <si>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</si>
  <si>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</si>
  <si>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</si>
  <si>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</si>
  <si>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</si>
  <si>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</si>
  <si>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</si>
  <si>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</si>
  <si>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</si>
  <si>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</si>
  <si>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</si>
  <si>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</si>
  <si>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</si>
  <si>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</si>
  <si>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</si>
  <si>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</si>
  <si>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</si>
  <si>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</si>
  <si>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</si>
  <si>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</si>
  <si>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</si>
  <si>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</si>
  <si>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</si>
  <si>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</si>
  <si>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</si>
  <si>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</si>
  <si>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</si>
  <si>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</si>
  <si>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</si>
  <si>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</si>
  <si>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</si>
  <si>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</si>
  <si>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</si>
  <si>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</si>
  <si>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</si>
  <si>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</si>
  <si>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</si>
  <si>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</si>
  <si>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</si>
  <si>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</si>
  <si>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</si>
  <si>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</si>
  <si>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</si>
  <si>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</si>
  <si>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</si>
  <si>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</si>
  <si>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</si>
  <si>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</si>
  <si>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</si>
  <si>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</si>
  <si>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</si>
  <si>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</si>
  <si>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</si>
  <si>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</si>
  <si>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</si>
  <si>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</si>
  <si>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</si>
  <si>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</si>
  <si>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</si>
  <si>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</si>
  <si>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</si>
  <si>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</si>
  <si>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</si>
  <si>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</si>
  <si>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</si>
  <si>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</si>
  <si>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</si>
  <si>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</si>
  <si>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</si>
  <si>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</si>
  <si>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</si>
  <si>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</si>
  <si>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</si>
  <si>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</si>
  <si>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</si>
  <si>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</si>
  <si>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</si>
  <si>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</si>
  <si>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</si>
  <si>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</si>
  <si>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</si>
  <si>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</si>
  <si>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</si>
  <si>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</si>
  <si>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</si>
  <si>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</si>
  <si>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</si>
  <si>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</si>
  <si>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</si>
  <si>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</si>
  <si>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</si>
  <si>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</si>
  <si>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</si>
  <si>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</si>
  <si>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</si>
  <si>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</si>
  <si>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</si>
  <si>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</si>
  <si>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</si>
  <si>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</si>
  <si>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</si>
  <si>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</si>
  <si>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</si>
  <si>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</si>
  <si>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</si>
  <si>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</si>
  <si>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</si>
  <si>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</si>
  <si>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</si>
  <si>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</si>
  <si>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</si>
  <si>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</si>
  <si>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</si>
  <si>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</si>
  <si>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</si>
  <si>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</si>
  <si>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</si>
  <si>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</si>
  <si>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</si>
  <si>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</si>
  <si>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</si>
  <si>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</si>
  <si>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</si>
  <si>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</si>
  <si>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</si>
  <si>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</si>
  <si>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</si>
  <si>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</si>
  <si>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</si>
  <si>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</si>
  <si>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</si>
  <si>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</si>
  <si>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</si>
  <si>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</si>
  <si>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</si>
  <si>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</si>
  <si>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</si>
  <si>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</si>
  <si>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</si>
  <si>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</si>
  <si>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</si>
  <si>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</si>
  <si>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</si>
  <si>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</si>
  <si>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</si>
  <si>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</si>
  <si>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</si>
  <si>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</si>
  <si>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</si>
  <si>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</si>
  <si>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</si>
  <si>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</si>
  <si>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</si>
  <si>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</si>
  <si>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</si>
  <si>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</si>
  <si>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</si>
  <si>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</si>
  <si>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</si>
  <si>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</si>
  <si>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</si>
  <si>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</si>
  <si>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</si>
  <si>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</si>
  <si>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</si>
  <si>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</si>
  <si>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</si>
  <si>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</si>
  <si>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</si>
  <si>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</si>
  <si>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</si>
  <si>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</si>
  <si>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</si>
  <si>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</si>
  <si>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</si>
  <si>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</si>
  <si>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</si>
  <si>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</si>
  <si>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</si>
  <si>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</si>
  <si>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</si>
  <si>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</si>
  <si>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</si>
  <si>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</si>
  <si>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</si>
  <si>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</si>
  <si>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</si>
  <si>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</si>
  <si>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</si>
  <si>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</si>
  <si>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</si>
  <si>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</si>
  <si>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</si>
  <si>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</si>
  <si>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</si>
  <si>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</si>
  <si>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</si>
  <si>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</si>
  <si>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</si>
  <si>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</si>
  <si>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</si>
  <si>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</si>
  <si>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</si>
  <si>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</si>
  <si>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</si>
  <si>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</si>
  <si>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</si>
  <si>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</si>
  <si>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</si>
  <si>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</si>
  <si>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</si>
  <si>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</si>
  <si>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</si>
  <si>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</si>
  <si>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</si>
  <si>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</si>
  <si>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</si>
  <si>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</si>
  <si>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</si>
  <si>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</si>
  <si>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</si>
  <si>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</si>
  <si>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</si>
  <si>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</si>
  <si>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</si>
  <si>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</si>
  <si>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</si>
  <si>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</si>
  <si>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</si>
  <si>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</si>
  <si>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</si>
  <si>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</si>
  <si>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</si>
  <si>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</si>
  <si>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</si>
  <si>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</si>
  <si>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</si>
  <si>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</si>
  <si>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</si>
  <si>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</si>
  <si>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</si>
  <si>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</si>
  <si>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</si>
  <si>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</si>
  <si>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</si>
  <si>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</si>
  <si>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</si>
  <si>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</si>
  <si>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</si>
  <si>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</si>
  <si>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</si>
  <si>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</si>
  <si>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</si>
  <si>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</si>
  <si>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</si>
  <si>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</si>
  <si>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</si>
  <si>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</si>
  <si>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</si>
  <si>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44013</t>
  </si>
  <si>
    <t>DESTELBERGEN</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</si>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</sst>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159533.8425391207</c:v>
                </c:pt>
                <c:pt idx="1">
                  <c:v>40476.193816489053</c:v>
                </c:pt>
                <c:pt idx="2">
                  <c:v>1281.6479999999999</c:v>
                </c:pt>
                <c:pt idx="3">
                  <c:v>16913.78465641326</c:v>
                </c:pt>
                <c:pt idx="4">
                  <c:v>37471.232117438718</c:v>
                </c:pt>
                <c:pt idx="5">
                  <c:v>308566.31667445804</c:v>
                </c:pt>
                <c:pt idx="6">
                  <c:v>1292.0976357299658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159533.8425391207</c:v>
                </c:pt>
                <c:pt idx="1">
                  <c:v>40476.193816489053</c:v>
                </c:pt>
                <c:pt idx="2">
                  <c:v>1281.6479999999999</c:v>
                </c:pt>
                <c:pt idx="3">
                  <c:v>16913.78465641326</c:v>
                </c:pt>
                <c:pt idx="4">
                  <c:v>37471.232117438718</c:v>
                </c:pt>
                <c:pt idx="5">
                  <c:v>308566.31667445804</c:v>
                </c:pt>
                <c:pt idx="6">
                  <c:v>1292.0976357299658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32835.714307638038</c:v>
                </c:pt>
                <c:pt idx="1">
                  <c:v>7871.7423475648429</c:v>
                </c:pt>
                <c:pt idx="2">
                  <c:v>269.42458737993684</c:v>
                </c:pt>
                <c:pt idx="3">
                  <c:v>3916.1419132615842</c:v>
                </c:pt>
                <c:pt idx="4">
                  <c:v>7893.268527673159</c:v>
                </c:pt>
                <c:pt idx="5">
                  <c:v>77005.373355614138</c:v>
                </c:pt>
                <c:pt idx="6">
                  <c:v>325.81313351189954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32835.714307638038</c:v>
                </c:pt>
                <c:pt idx="1">
                  <c:v>7871.7423475648429</c:v>
                </c:pt>
                <c:pt idx="2">
                  <c:v>269.42458737993684</c:v>
                </c:pt>
                <c:pt idx="3">
                  <c:v>3916.1419132615842</c:v>
                </c:pt>
                <c:pt idx="4">
                  <c:v>7893.268527673159</c:v>
                </c:pt>
                <c:pt idx="5">
                  <c:v>77005.373355614138</c:v>
                </c:pt>
                <c:pt idx="6">
                  <c:v>325.81313351189954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44013</v>
      </c>
      <c r="B6" s="386"/>
      <c r="C6" s="387"/>
    </row>
    <row r="7" spans="1:7" s="384" customFormat="1" ht="15.75" customHeight="1">
      <c r="A7" s="388" t="str">
        <f>txtMunicipality</f>
        <v>DESTELBERGEN</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18407.053862000001</v>
      </c>
      <c r="D10" s="681">
        <f ca="1">tertiair!C16</f>
        <v>0</v>
      </c>
      <c r="E10" s="681">
        <f ca="1">tertiair!D16</f>
        <v>18185.162250617999</v>
      </c>
      <c r="F10" s="681">
        <f>tertiair!E16</f>
        <v>196.92299140874286</v>
      </c>
      <c r="G10" s="681">
        <f ca="1">tertiair!F16</f>
        <v>2073.2460257066859</v>
      </c>
      <c r="H10" s="681">
        <f>tertiair!G16</f>
        <v>0</v>
      </c>
      <c r="I10" s="681">
        <f>tertiair!H16</f>
        <v>0</v>
      </c>
      <c r="J10" s="681">
        <f>tertiair!I16</f>
        <v>0</v>
      </c>
      <c r="K10" s="681">
        <f>tertiair!J16</f>
        <v>6.981045499930616E-2</v>
      </c>
      <c r="L10" s="681">
        <f>tertiair!K16</f>
        <v>0</v>
      </c>
      <c r="M10" s="681">
        <f ca="1">tertiair!L16</f>
        <v>0</v>
      </c>
      <c r="N10" s="681">
        <f>tertiair!M16</f>
        <v>0</v>
      </c>
      <c r="O10" s="681">
        <f ca="1">tertiair!N16</f>
        <v>2732.8722006153002</v>
      </c>
      <c r="P10" s="681">
        <f>tertiair!O16</f>
        <v>4.8972607658411542</v>
      </c>
      <c r="Q10" s="682">
        <f>tertiair!P16</f>
        <v>157.61741491948504</v>
      </c>
      <c r="R10" s="684">
        <f ca="1">SUM(C10:Q10)</f>
        <v>41757.841816489054</v>
      </c>
      <c r="S10" s="67"/>
    </row>
    <row r="11" spans="1:19" s="444" customFormat="1">
      <c r="A11" s="802" t="s">
        <v>219</v>
      </c>
      <c r="B11" s="807"/>
      <c r="C11" s="681">
        <f>huishoudens!B8</f>
        <v>35329.063477148506</v>
      </c>
      <c r="D11" s="681">
        <f>huishoudens!C8</f>
        <v>0</v>
      </c>
      <c r="E11" s="681">
        <f>huishoudens!D8</f>
        <v>70318.770599440002</v>
      </c>
      <c r="F11" s="681">
        <f>huishoudens!E8</f>
        <v>2460.2684910058442</v>
      </c>
      <c r="G11" s="681">
        <f>huishoudens!F8</f>
        <v>39662.807136444091</v>
      </c>
      <c r="H11" s="681">
        <f>huishoudens!G8</f>
        <v>0</v>
      </c>
      <c r="I11" s="681">
        <f>huishoudens!H8</f>
        <v>0</v>
      </c>
      <c r="J11" s="681">
        <f>huishoudens!I8</f>
        <v>0</v>
      </c>
      <c r="K11" s="681">
        <f>huishoudens!J8</f>
        <v>158.45116585002296</v>
      </c>
      <c r="L11" s="681">
        <f>huishoudens!K8</f>
        <v>0</v>
      </c>
      <c r="M11" s="681">
        <f>huishoudens!L8</f>
        <v>0</v>
      </c>
      <c r="N11" s="681">
        <f>huishoudens!M8</f>
        <v>0</v>
      </c>
      <c r="O11" s="681">
        <f>huishoudens!N8</f>
        <v>10391.568713252167</v>
      </c>
      <c r="P11" s="681">
        <f>huishoudens!O8</f>
        <v>486.06976374982281</v>
      </c>
      <c r="Q11" s="682">
        <f>huishoudens!P8</f>
        <v>726.8431922302666</v>
      </c>
      <c r="R11" s="684">
        <f>SUM(C11:Q11)</f>
        <v>159533.8425391207</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19639.662279999997</v>
      </c>
      <c r="D13" s="681">
        <f>industrie!C18</f>
        <v>0</v>
      </c>
      <c r="E13" s="681">
        <f>industrie!D18</f>
        <v>11487.419192392001</v>
      </c>
      <c r="F13" s="681">
        <f>industrie!E18</f>
        <v>1178.8389155383215</v>
      </c>
      <c r="G13" s="681">
        <f>industrie!F18</f>
        <v>4206.7948291591993</v>
      </c>
      <c r="H13" s="681">
        <f>industrie!G18</f>
        <v>0</v>
      </c>
      <c r="I13" s="681">
        <f>industrie!H18</f>
        <v>0</v>
      </c>
      <c r="J13" s="681">
        <f>industrie!I18</f>
        <v>0</v>
      </c>
      <c r="K13" s="681">
        <f>industrie!J18</f>
        <v>150.85406619978943</v>
      </c>
      <c r="L13" s="681">
        <f>industrie!K18</f>
        <v>0</v>
      </c>
      <c r="M13" s="681">
        <f>industrie!L18</f>
        <v>0</v>
      </c>
      <c r="N13" s="681">
        <f>industrie!M18</f>
        <v>0</v>
      </c>
      <c r="O13" s="681">
        <f>industrie!N18</f>
        <v>807.6628341494087</v>
      </c>
      <c r="P13" s="681">
        <f>industrie!O18</f>
        <v>0</v>
      </c>
      <c r="Q13" s="682">
        <f>industrie!P18</f>
        <v>0</v>
      </c>
      <c r="R13" s="684">
        <f>SUM(C13:Q13)</f>
        <v>37471.232117438718</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73375.779619148496</v>
      </c>
      <c r="D16" s="717">
        <f t="shared" ref="D16:R16" ca="1" si="0">SUM(D9:D15)</f>
        <v>0</v>
      </c>
      <c r="E16" s="717">
        <f t="shared" ca="1" si="0"/>
        <v>99991.352042450002</v>
      </c>
      <c r="F16" s="717">
        <f t="shared" si="0"/>
        <v>3836.0303979529085</v>
      </c>
      <c r="G16" s="717">
        <f t="shared" ca="1" si="0"/>
        <v>45942.847991309973</v>
      </c>
      <c r="H16" s="717">
        <f t="shared" si="0"/>
        <v>0</v>
      </c>
      <c r="I16" s="717">
        <f t="shared" si="0"/>
        <v>0</v>
      </c>
      <c r="J16" s="717">
        <f t="shared" si="0"/>
        <v>0</v>
      </c>
      <c r="K16" s="717">
        <f t="shared" si="0"/>
        <v>309.37504250481169</v>
      </c>
      <c r="L16" s="717">
        <f t="shared" si="0"/>
        <v>0</v>
      </c>
      <c r="M16" s="717">
        <f t="shared" ca="1" si="0"/>
        <v>0</v>
      </c>
      <c r="N16" s="717">
        <f t="shared" si="0"/>
        <v>0</v>
      </c>
      <c r="O16" s="717">
        <f t="shared" ca="1" si="0"/>
        <v>13932.103748016876</v>
      </c>
      <c r="P16" s="717">
        <f t="shared" si="0"/>
        <v>490.96702451566398</v>
      </c>
      <c r="Q16" s="717">
        <f t="shared" si="0"/>
        <v>884.4606071497517</v>
      </c>
      <c r="R16" s="717">
        <f t="shared" ca="1" si="0"/>
        <v>238762.91647304848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16.661568652602668</v>
      </c>
      <c r="D19" s="681">
        <f>transport!C54</f>
        <v>0</v>
      </c>
      <c r="E19" s="681">
        <f>transport!D54</f>
        <v>0</v>
      </c>
      <c r="F19" s="681">
        <f>transport!E54</f>
        <v>0</v>
      </c>
      <c r="G19" s="681">
        <f>transport!F54</f>
        <v>0</v>
      </c>
      <c r="H19" s="681">
        <f>transport!G54</f>
        <v>1207.1557433238956</v>
      </c>
      <c r="I19" s="681">
        <f>transport!H54</f>
        <v>0</v>
      </c>
      <c r="J19" s="681">
        <f>transport!I54</f>
        <v>0</v>
      </c>
      <c r="K19" s="681">
        <f>transport!J54</f>
        <v>0</v>
      </c>
      <c r="L19" s="681">
        <f>transport!K54</f>
        <v>0</v>
      </c>
      <c r="M19" s="681">
        <f>transport!L54</f>
        <v>0</v>
      </c>
      <c r="N19" s="681">
        <f>transport!M54</f>
        <v>68.280323753467385</v>
      </c>
      <c r="O19" s="681">
        <f>transport!N54</f>
        <v>0</v>
      </c>
      <c r="P19" s="681">
        <f>transport!O54</f>
        <v>0</v>
      </c>
      <c r="Q19" s="682">
        <f>transport!P54</f>
        <v>0</v>
      </c>
      <c r="R19" s="684">
        <f>SUM(C19:Q19)</f>
        <v>1292.0976357299658</v>
      </c>
      <c r="S19" s="67"/>
    </row>
    <row r="20" spans="1:19" s="444" customFormat="1">
      <c r="A20" s="802" t="s">
        <v>301</v>
      </c>
      <c r="B20" s="807"/>
      <c r="C20" s="681">
        <f>transport!B14</f>
        <v>312.63288874986387</v>
      </c>
      <c r="D20" s="681">
        <f>transport!C14</f>
        <v>0</v>
      </c>
      <c r="E20" s="681">
        <f>transport!D14</f>
        <v>454.31678968295535</v>
      </c>
      <c r="F20" s="681">
        <f>transport!E14</f>
        <v>461.64906019972778</v>
      </c>
      <c r="G20" s="681">
        <f>transport!F14</f>
        <v>0</v>
      </c>
      <c r="H20" s="681">
        <f>transport!G14</f>
        <v>248397.95073364666</v>
      </c>
      <c r="I20" s="681">
        <f>transport!H14</f>
        <v>41850.736299195116</v>
      </c>
      <c r="J20" s="681">
        <f>transport!I14</f>
        <v>0</v>
      </c>
      <c r="K20" s="681">
        <f>transport!J14</f>
        <v>0</v>
      </c>
      <c r="L20" s="681">
        <f>transport!K14</f>
        <v>0</v>
      </c>
      <c r="M20" s="681">
        <f>transport!L14</f>
        <v>0</v>
      </c>
      <c r="N20" s="681">
        <f>transport!M14</f>
        <v>17089.030902983763</v>
      </c>
      <c r="O20" s="681">
        <f>transport!N14</f>
        <v>0</v>
      </c>
      <c r="P20" s="681">
        <f>transport!O14</f>
        <v>0</v>
      </c>
      <c r="Q20" s="682">
        <f>transport!P14</f>
        <v>0</v>
      </c>
      <c r="R20" s="684">
        <f>SUM(C20:Q20)</f>
        <v>308566.31667445804</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329.29445740246655</v>
      </c>
      <c r="D22" s="805">
        <f t="shared" ref="D22:R22" si="1">SUM(D18:D21)</f>
        <v>0</v>
      </c>
      <c r="E22" s="805">
        <f t="shared" si="1"/>
        <v>454.31678968295535</v>
      </c>
      <c r="F22" s="805">
        <f t="shared" si="1"/>
        <v>461.64906019972778</v>
      </c>
      <c r="G22" s="805">
        <f t="shared" si="1"/>
        <v>0</v>
      </c>
      <c r="H22" s="805">
        <f t="shared" si="1"/>
        <v>249605.10647697057</v>
      </c>
      <c r="I22" s="805">
        <f t="shared" si="1"/>
        <v>41850.736299195116</v>
      </c>
      <c r="J22" s="805">
        <f t="shared" si="1"/>
        <v>0</v>
      </c>
      <c r="K22" s="805">
        <f t="shared" si="1"/>
        <v>0</v>
      </c>
      <c r="L22" s="805">
        <f t="shared" si="1"/>
        <v>0</v>
      </c>
      <c r="M22" s="805">
        <f t="shared" si="1"/>
        <v>0</v>
      </c>
      <c r="N22" s="805">
        <f t="shared" si="1"/>
        <v>17157.311226737231</v>
      </c>
      <c r="O22" s="805">
        <f t="shared" si="1"/>
        <v>0</v>
      </c>
      <c r="P22" s="805">
        <f t="shared" si="1"/>
        <v>0</v>
      </c>
      <c r="Q22" s="805">
        <f t="shared" si="1"/>
        <v>0</v>
      </c>
      <c r="R22" s="805">
        <f t="shared" si="1"/>
        <v>309858.41431018797</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1780.3706729999999</v>
      </c>
      <c r="D24" s="681">
        <f>+landbouw!C8</f>
        <v>0</v>
      </c>
      <c r="E24" s="681">
        <f>+landbouw!D8</f>
        <v>8295.3175521039993</v>
      </c>
      <c r="F24" s="681">
        <f>+landbouw!E8</f>
        <v>55.564781610510565</v>
      </c>
      <c r="G24" s="681">
        <f>+landbouw!F8</f>
        <v>6292.0271825248365</v>
      </c>
      <c r="H24" s="681">
        <f>+landbouw!G8</f>
        <v>0</v>
      </c>
      <c r="I24" s="681">
        <f>+landbouw!H8</f>
        <v>0</v>
      </c>
      <c r="J24" s="681">
        <f>+landbouw!I8</f>
        <v>0</v>
      </c>
      <c r="K24" s="681">
        <f>+landbouw!J8</f>
        <v>490.50446717391094</v>
      </c>
      <c r="L24" s="681">
        <f>+landbouw!K8</f>
        <v>0</v>
      </c>
      <c r="M24" s="681">
        <f>+landbouw!L8</f>
        <v>0</v>
      </c>
      <c r="N24" s="681">
        <f>+landbouw!M8</f>
        <v>0</v>
      </c>
      <c r="O24" s="681">
        <f>+landbouw!N8</f>
        <v>0</v>
      </c>
      <c r="P24" s="681">
        <f>+landbouw!O8</f>
        <v>0</v>
      </c>
      <c r="Q24" s="682">
        <f>+landbouw!P8</f>
        <v>0</v>
      </c>
      <c r="R24" s="684">
        <f>SUM(C24:Q24)</f>
        <v>16913.78465641326</v>
      </c>
      <c r="S24" s="67"/>
    </row>
    <row r="25" spans="1:19" s="444" customFormat="1" ht="15" thickBot="1">
      <c r="A25" s="824" t="s">
        <v>714</v>
      </c>
      <c r="B25" s="943"/>
      <c r="C25" s="944">
        <f>IF(Onbekend_ele_kWh="---",0,Onbekend_ele_kWh)/1000+IF(REST_rest_ele_kWh="---",0,REST_rest_ele_kWh)/1000</f>
        <v>1050.276509</v>
      </c>
      <c r="D25" s="944"/>
      <c r="E25" s="944">
        <f>IF(onbekend_gas_kWh="---",0,onbekend_gas_kWh)/1000+IF(REST_rest_gas_kWh="---",0,REST_rest_gas_kWh)/1000</f>
        <v>3972.179185</v>
      </c>
      <c r="F25" s="944"/>
      <c r="G25" s="944"/>
      <c r="H25" s="944"/>
      <c r="I25" s="944"/>
      <c r="J25" s="944"/>
      <c r="K25" s="944"/>
      <c r="L25" s="944"/>
      <c r="M25" s="944"/>
      <c r="N25" s="944"/>
      <c r="O25" s="944"/>
      <c r="P25" s="944"/>
      <c r="Q25" s="945"/>
      <c r="R25" s="684">
        <f>SUM(C25:Q25)</f>
        <v>5022.4556940000002</v>
      </c>
      <c r="S25" s="67"/>
    </row>
    <row r="26" spans="1:19" s="444" customFormat="1" ht="15.75" thickBot="1">
      <c r="A26" s="689" t="s">
        <v>715</v>
      </c>
      <c r="B26" s="810"/>
      <c r="C26" s="805">
        <f>SUM(C24:C25)</f>
        <v>2830.6471819999997</v>
      </c>
      <c r="D26" s="805">
        <f t="shared" ref="D26:R26" si="2">SUM(D24:D25)</f>
        <v>0</v>
      </c>
      <c r="E26" s="805">
        <f t="shared" si="2"/>
        <v>12267.496737104</v>
      </c>
      <c r="F26" s="805">
        <f t="shared" si="2"/>
        <v>55.564781610510565</v>
      </c>
      <c r="G26" s="805">
        <f t="shared" si="2"/>
        <v>6292.0271825248365</v>
      </c>
      <c r="H26" s="805">
        <f t="shared" si="2"/>
        <v>0</v>
      </c>
      <c r="I26" s="805">
        <f t="shared" si="2"/>
        <v>0</v>
      </c>
      <c r="J26" s="805">
        <f t="shared" si="2"/>
        <v>0</v>
      </c>
      <c r="K26" s="805">
        <f t="shared" si="2"/>
        <v>490.50446717391094</v>
      </c>
      <c r="L26" s="805">
        <f t="shared" si="2"/>
        <v>0</v>
      </c>
      <c r="M26" s="805">
        <f t="shared" si="2"/>
        <v>0</v>
      </c>
      <c r="N26" s="805">
        <f t="shared" si="2"/>
        <v>0</v>
      </c>
      <c r="O26" s="805">
        <f t="shared" si="2"/>
        <v>0</v>
      </c>
      <c r="P26" s="805">
        <f t="shared" si="2"/>
        <v>0</v>
      </c>
      <c r="Q26" s="805">
        <f t="shared" si="2"/>
        <v>0</v>
      </c>
      <c r="R26" s="805">
        <f t="shared" si="2"/>
        <v>21936.24035041326</v>
      </c>
      <c r="S26" s="67"/>
    </row>
    <row r="27" spans="1:19" s="444" customFormat="1" ht="17.25" thickTop="1" thickBot="1">
      <c r="A27" s="690" t="s">
        <v>115</v>
      </c>
      <c r="B27" s="797"/>
      <c r="C27" s="691">
        <f ca="1">C22+C16+C26</f>
        <v>76535.72125855097</v>
      </c>
      <c r="D27" s="691">
        <f t="shared" ref="D27:R27" ca="1" si="3">D22+D16+D26</f>
        <v>0</v>
      </c>
      <c r="E27" s="691">
        <f t="shared" ca="1" si="3"/>
        <v>112713.16556923695</v>
      </c>
      <c r="F27" s="691">
        <f t="shared" si="3"/>
        <v>4353.2442397631467</v>
      </c>
      <c r="G27" s="691">
        <f t="shared" ca="1" si="3"/>
        <v>52234.875173834807</v>
      </c>
      <c r="H27" s="691">
        <f t="shared" si="3"/>
        <v>249605.10647697057</v>
      </c>
      <c r="I27" s="691">
        <f t="shared" si="3"/>
        <v>41850.736299195116</v>
      </c>
      <c r="J27" s="691">
        <f t="shared" si="3"/>
        <v>0</v>
      </c>
      <c r="K27" s="691">
        <f t="shared" si="3"/>
        <v>799.87950967872257</v>
      </c>
      <c r="L27" s="691">
        <f t="shared" si="3"/>
        <v>0</v>
      </c>
      <c r="M27" s="691">
        <f t="shared" ca="1" si="3"/>
        <v>0</v>
      </c>
      <c r="N27" s="691">
        <f t="shared" si="3"/>
        <v>17157.311226737231</v>
      </c>
      <c r="O27" s="691">
        <f t="shared" ca="1" si="3"/>
        <v>13932.103748016876</v>
      </c>
      <c r="P27" s="691">
        <f t="shared" si="3"/>
        <v>490.96702451566398</v>
      </c>
      <c r="Q27" s="691">
        <f t="shared" si="3"/>
        <v>884.4606071497517</v>
      </c>
      <c r="R27" s="691">
        <f t="shared" ca="1" si="3"/>
        <v>570557.57113364968</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3869.4812395054046</v>
      </c>
      <c r="D40" s="681">
        <f ca="1">tertiair!C20</f>
        <v>0</v>
      </c>
      <c r="E40" s="681">
        <f ca="1">tertiair!D20</f>
        <v>3673.4027746248362</v>
      </c>
      <c r="F40" s="681">
        <f>tertiair!E20</f>
        <v>44.701519049784629</v>
      </c>
      <c r="G40" s="681">
        <f ca="1">tertiair!F20</f>
        <v>553.55668886368517</v>
      </c>
      <c r="H40" s="681">
        <f>tertiair!G20</f>
        <v>0</v>
      </c>
      <c r="I40" s="681">
        <f>tertiair!H20</f>
        <v>0</v>
      </c>
      <c r="J40" s="681">
        <f>tertiair!I20</f>
        <v>0</v>
      </c>
      <c r="K40" s="681">
        <f>tertiair!J20</f>
        <v>2.4712901069754378E-2</v>
      </c>
      <c r="L40" s="681">
        <f>tertiair!K20</f>
        <v>0</v>
      </c>
      <c r="M40" s="681">
        <f ca="1">tertiair!L20</f>
        <v>0</v>
      </c>
      <c r="N40" s="681">
        <f>tertiair!M20</f>
        <v>0</v>
      </c>
      <c r="O40" s="681">
        <f ca="1">tertiair!N20</f>
        <v>0</v>
      </c>
      <c r="P40" s="681">
        <f>tertiair!O20</f>
        <v>0</v>
      </c>
      <c r="Q40" s="764">
        <f>tertiair!P20</f>
        <v>0</v>
      </c>
      <c r="R40" s="843">
        <f t="shared" ca="1" si="4"/>
        <v>8141.1669349447802</v>
      </c>
    </row>
    <row r="41" spans="1:18">
      <c r="A41" s="815" t="s">
        <v>219</v>
      </c>
      <c r="B41" s="822"/>
      <c r="C41" s="681">
        <f ca="1">huishoudens!B12</f>
        <v>7426.7804809513473</v>
      </c>
      <c r="D41" s="681">
        <f ca="1">huishoudens!C12</f>
        <v>0</v>
      </c>
      <c r="E41" s="681">
        <f>huishoudens!D12</f>
        <v>14204.391661086882</v>
      </c>
      <c r="F41" s="681">
        <f>huishoudens!E12</f>
        <v>558.48094745832668</v>
      </c>
      <c r="G41" s="681">
        <f>huishoudens!F12</f>
        <v>10589.969505430572</v>
      </c>
      <c r="H41" s="681">
        <f>huishoudens!G12</f>
        <v>0</v>
      </c>
      <c r="I41" s="681">
        <f>huishoudens!H12</f>
        <v>0</v>
      </c>
      <c r="J41" s="681">
        <f>huishoudens!I12</f>
        <v>0</v>
      </c>
      <c r="K41" s="681">
        <f>huishoudens!J12</f>
        <v>56.091712710908126</v>
      </c>
      <c r="L41" s="681">
        <f>huishoudens!K12</f>
        <v>0</v>
      </c>
      <c r="M41" s="681">
        <f>huishoudens!L12</f>
        <v>0</v>
      </c>
      <c r="N41" s="681">
        <f>huishoudens!M12</f>
        <v>0</v>
      </c>
      <c r="O41" s="681">
        <f>huishoudens!N12</f>
        <v>0</v>
      </c>
      <c r="P41" s="681">
        <f>huishoudens!O12</f>
        <v>0</v>
      </c>
      <c r="Q41" s="764">
        <f>huishoudens!P12</f>
        <v>0</v>
      </c>
      <c r="R41" s="843">
        <f t="shared" ca="1" si="4"/>
        <v>32835.714307638038</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4128.5968581625448</v>
      </c>
      <c r="D43" s="681">
        <f ca="1">industrie!C22</f>
        <v>0</v>
      </c>
      <c r="E43" s="681">
        <f>industrie!D22</f>
        <v>2320.4586768631843</v>
      </c>
      <c r="F43" s="681">
        <f>industrie!E22</f>
        <v>267.59643382719901</v>
      </c>
      <c r="G43" s="681">
        <f>industrie!F22</f>
        <v>1123.2142193855063</v>
      </c>
      <c r="H43" s="681">
        <f>industrie!G22</f>
        <v>0</v>
      </c>
      <c r="I43" s="681">
        <f>industrie!H22</f>
        <v>0</v>
      </c>
      <c r="J43" s="681">
        <f>industrie!I22</f>
        <v>0</v>
      </c>
      <c r="K43" s="681">
        <f>industrie!J22</f>
        <v>53.402339434725455</v>
      </c>
      <c r="L43" s="681">
        <f>industrie!K22</f>
        <v>0</v>
      </c>
      <c r="M43" s="681">
        <f>industrie!L22</f>
        <v>0</v>
      </c>
      <c r="N43" s="681">
        <f>industrie!M22</f>
        <v>0</v>
      </c>
      <c r="O43" s="681">
        <f>industrie!N22</f>
        <v>0</v>
      </c>
      <c r="P43" s="681">
        <f>industrie!O22</f>
        <v>0</v>
      </c>
      <c r="Q43" s="764">
        <f>industrie!P22</f>
        <v>0</v>
      </c>
      <c r="R43" s="842">
        <f t="shared" ca="1" si="4"/>
        <v>7893.268527673159</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15424.858578619296</v>
      </c>
      <c r="D46" s="717">
        <f t="shared" ref="D46:Q46" ca="1" si="5">SUM(D39:D45)</f>
        <v>0</v>
      </c>
      <c r="E46" s="717">
        <f t="shared" ca="1" si="5"/>
        <v>20198.253112574905</v>
      </c>
      <c r="F46" s="717">
        <f t="shared" si="5"/>
        <v>870.77890033531037</v>
      </c>
      <c r="G46" s="717">
        <f t="shared" ca="1" si="5"/>
        <v>12266.740413679765</v>
      </c>
      <c r="H46" s="717">
        <f t="shared" si="5"/>
        <v>0</v>
      </c>
      <c r="I46" s="717">
        <f t="shared" si="5"/>
        <v>0</v>
      </c>
      <c r="J46" s="717">
        <f t="shared" si="5"/>
        <v>0</v>
      </c>
      <c r="K46" s="717">
        <f t="shared" si="5"/>
        <v>109.51876504670334</v>
      </c>
      <c r="L46" s="717">
        <f t="shared" si="5"/>
        <v>0</v>
      </c>
      <c r="M46" s="717">
        <f t="shared" ca="1" si="5"/>
        <v>0</v>
      </c>
      <c r="N46" s="717">
        <f t="shared" si="5"/>
        <v>0</v>
      </c>
      <c r="O46" s="717">
        <f t="shared" ca="1" si="5"/>
        <v>0</v>
      </c>
      <c r="P46" s="717">
        <f t="shared" si="5"/>
        <v>0</v>
      </c>
      <c r="Q46" s="717">
        <f t="shared" si="5"/>
        <v>0</v>
      </c>
      <c r="R46" s="717">
        <f ca="1">SUM(R39:R45)</f>
        <v>48870.149770255979</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3.5025500444193445</v>
      </c>
      <c r="D49" s="681">
        <f ca="1">transport!C58</f>
        <v>0</v>
      </c>
      <c r="E49" s="681">
        <f>transport!D58</f>
        <v>0</v>
      </c>
      <c r="F49" s="681">
        <f>transport!E58</f>
        <v>0</v>
      </c>
      <c r="G49" s="681">
        <f>transport!F58</f>
        <v>0</v>
      </c>
      <c r="H49" s="681">
        <f>transport!G58</f>
        <v>322.31058346748017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325.81313351189954</v>
      </c>
    </row>
    <row r="50" spans="1:18">
      <c r="A50" s="818" t="s">
        <v>301</v>
      </c>
      <c r="B50" s="828"/>
      <c r="C50" s="687">
        <f ca="1">transport!B18</f>
        <v>65.720843049596894</v>
      </c>
      <c r="D50" s="687">
        <f>transport!C18</f>
        <v>0</v>
      </c>
      <c r="E50" s="687">
        <f>transport!D18</f>
        <v>91.771991515956984</v>
      </c>
      <c r="F50" s="687">
        <f>transport!E18</f>
        <v>104.79433666533821</v>
      </c>
      <c r="G50" s="687">
        <f>transport!F18</f>
        <v>0</v>
      </c>
      <c r="H50" s="687">
        <f>transport!G18</f>
        <v>66322.25284588366</v>
      </c>
      <c r="I50" s="687">
        <f>transport!H18</f>
        <v>10420.833338499584</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77005.373355614138</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69.223393094016245</v>
      </c>
      <c r="D52" s="717">
        <f t="shared" ref="D52:Q52" ca="1" si="6">SUM(D48:D51)</f>
        <v>0</v>
      </c>
      <c r="E52" s="717">
        <f t="shared" si="6"/>
        <v>91.771991515956984</v>
      </c>
      <c r="F52" s="717">
        <f t="shared" si="6"/>
        <v>104.79433666533821</v>
      </c>
      <c r="G52" s="717">
        <f t="shared" si="6"/>
        <v>0</v>
      </c>
      <c r="H52" s="717">
        <f t="shared" si="6"/>
        <v>66644.563429351139</v>
      </c>
      <c r="I52" s="717">
        <f t="shared" si="6"/>
        <v>10420.833338499584</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77331.186489126034</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374.26472319729396</v>
      </c>
      <c r="D54" s="687">
        <f ca="1">+landbouw!C12</f>
        <v>0</v>
      </c>
      <c r="E54" s="687">
        <f>+landbouw!D12</f>
        <v>1675.6541455250081</v>
      </c>
      <c r="F54" s="687">
        <f>+landbouw!E12</f>
        <v>12.613205425585898</v>
      </c>
      <c r="G54" s="687">
        <f>+landbouw!F12</f>
        <v>1679.9712577341315</v>
      </c>
      <c r="H54" s="687">
        <f>+landbouw!G12</f>
        <v>0</v>
      </c>
      <c r="I54" s="687">
        <f>+landbouw!H12</f>
        <v>0</v>
      </c>
      <c r="J54" s="687">
        <f>+landbouw!I12</f>
        <v>0</v>
      </c>
      <c r="K54" s="687">
        <f>+landbouw!J12</f>
        <v>173.63858137956447</v>
      </c>
      <c r="L54" s="687">
        <f>+landbouw!K12</f>
        <v>0</v>
      </c>
      <c r="M54" s="687">
        <f>+landbouw!L12</f>
        <v>0</v>
      </c>
      <c r="N54" s="687">
        <f>+landbouw!M12</f>
        <v>0</v>
      </c>
      <c r="O54" s="687">
        <f>+landbouw!N12</f>
        <v>0</v>
      </c>
      <c r="P54" s="687">
        <f>+landbouw!O12</f>
        <v>0</v>
      </c>
      <c r="Q54" s="688">
        <f>+landbouw!P12</f>
        <v>0</v>
      </c>
      <c r="R54" s="716">
        <f ca="1">SUM(C54:Q54)</f>
        <v>3916.1419132615842</v>
      </c>
    </row>
    <row r="55" spans="1:18" ht="15" thickBot="1">
      <c r="A55" s="818" t="s">
        <v>714</v>
      </c>
      <c r="B55" s="828"/>
      <c r="C55" s="687">
        <f ca="1">C25*'EF ele_warmte'!B12</f>
        <v>220.78629629365125</v>
      </c>
      <c r="D55" s="687"/>
      <c r="E55" s="687">
        <f>E25*EF_CO2_aardgas</f>
        <v>802.38019537000002</v>
      </c>
      <c r="F55" s="687"/>
      <c r="G55" s="687"/>
      <c r="H55" s="687"/>
      <c r="I55" s="687"/>
      <c r="J55" s="687"/>
      <c r="K55" s="687"/>
      <c r="L55" s="687"/>
      <c r="M55" s="687"/>
      <c r="N55" s="687"/>
      <c r="O55" s="687"/>
      <c r="P55" s="687"/>
      <c r="Q55" s="688"/>
      <c r="R55" s="716">
        <f ca="1">SUM(C55:Q55)</f>
        <v>1023.1664916636513</v>
      </c>
    </row>
    <row r="56" spans="1:18" ht="15.75" thickBot="1">
      <c r="A56" s="816" t="s">
        <v>715</v>
      </c>
      <c r="B56" s="829"/>
      <c r="C56" s="717">
        <f ca="1">SUM(C54:C55)</f>
        <v>595.05101949094524</v>
      </c>
      <c r="D56" s="717">
        <f t="shared" ref="D56:Q56" ca="1" si="7">SUM(D54:D55)</f>
        <v>0</v>
      </c>
      <c r="E56" s="717">
        <f t="shared" si="7"/>
        <v>2478.034340895008</v>
      </c>
      <c r="F56" s="717">
        <f t="shared" si="7"/>
        <v>12.613205425585898</v>
      </c>
      <c r="G56" s="717">
        <f t="shared" si="7"/>
        <v>1679.9712577341315</v>
      </c>
      <c r="H56" s="717">
        <f t="shared" si="7"/>
        <v>0</v>
      </c>
      <c r="I56" s="717">
        <f t="shared" si="7"/>
        <v>0</v>
      </c>
      <c r="J56" s="717">
        <f t="shared" si="7"/>
        <v>0</v>
      </c>
      <c r="K56" s="717">
        <f t="shared" si="7"/>
        <v>173.63858137956447</v>
      </c>
      <c r="L56" s="717">
        <f t="shared" si="7"/>
        <v>0</v>
      </c>
      <c r="M56" s="717">
        <f t="shared" si="7"/>
        <v>0</v>
      </c>
      <c r="N56" s="717">
        <f t="shared" si="7"/>
        <v>0</v>
      </c>
      <c r="O56" s="717">
        <f t="shared" si="7"/>
        <v>0</v>
      </c>
      <c r="P56" s="717">
        <f t="shared" si="7"/>
        <v>0</v>
      </c>
      <c r="Q56" s="718">
        <f t="shared" si="7"/>
        <v>0</v>
      </c>
      <c r="R56" s="719">
        <f ca="1">SUM(R54:R55)</f>
        <v>4939.3084049252357</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16089.132991204258</v>
      </c>
      <c r="D61" s="725">
        <f t="shared" ref="D61:Q61" ca="1" si="8">D46+D52+D56</f>
        <v>0</v>
      </c>
      <c r="E61" s="725">
        <f t="shared" ca="1" si="8"/>
        <v>22768.059444985869</v>
      </c>
      <c r="F61" s="725">
        <f t="shared" si="8"/>
        <v>988.18644242623441</v>
      </c>
      <c r="G61" s="725">
        <f t="shared" ca="1" si="8"/>
        <v>13946.711671413897</v>
      </c>
      <c r="H61" s="725">
        <f t="shared" si="8"/>
        <v>66644.563429351139</v>
      </c>
      <c r="I61" s="725">
        <f t="shared" si="8"/>
        <v>10420.833338499584</v>
      </c>
      <c r="J61" s="725">
        <f t="shared" si="8"/>
        <v>0</v>
      </c>
      <c r="K61" s="725">
        <f t="shared" si="8"/>
        <v>283.15734642626779</v>
      </c>
      <c r="L61" s="725">
        <f t="shared" si="8"/>
        <v>0</v>
      </c>
      <c r="M61" s="725">
        <f t="shared" ca="1" si="8"/>
        <v>0</v>
      </c>
      <c r="N61" s="725">
        <f t="shared" si="8"/>
        <v>0</v>
      </c>
      <c r="O61" s="725">
        <f t="shared" ca="1" si="8"/>
        <v>0</v>
      </c>
      <c r="P61" s="725">
        <f t="shared" si="8"/>
        <v>0</v>
      </c>
      <c r="Q61" s="725">
        <f t="shared" si="8"/>
        <v>0</v>
      </c>
      <c r="R61" s="725">
        <f ca="1">R46+R52+R56</f>
        <v>131140.64466430724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0.21021730411153206</v>
      </c>
      <c r="D63" s="771">
        <f t="shared" ca="1" si="9"/>
        <v>0</v>
      </c>
      <c r="E63" s="969">
        <f t="shared" ca="1" si="9"/>
        <v>0.20200000000000004</v>
      </c>
      <c r="F63" s="771">
        <f t="shared" si="9"/>
        <v>0.22700000000000004</v>
      </c>
      <c r="G63" s="771">
        <f t="shared" ca="1" si="9"/>
        <v>0.26700000000000007</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3734.2145110203828</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3734.2145110203828</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35329.063477148506</v>
      </c>
      <c r="C4" s="448">
        <f>huishoudens!C8</f>
        <v>0</v>
      </c>
      <c r="D4" s="448">
        <f>huishoudens!D8</f>
        <v>70318.770599440002</v>
      </c>
      <c r="E4" s="448">
        <f>huishoudens!E8</f>
        <v>2460.2684910058442</v>
      </c>
      <c r="F4" s="448">
        <f>huishoudens!F8</f>
        <v>39662.807136444091</v>
      </c>
      <c r="G4" s="448">
        <f>huishoudens!G8</f>
        <v>0</v>
      </c>
      <c r="H4" s="448">
        <f>huishoudens!H8</f>
        <v>0</v>
      </c>
      <c r="I4" s="448">
        <f>huishoudens!I8</f>
        <v>0</v>
      </c>
      <c r="J4" s="448">
        <f>huishoudens!J8</f>
        <v>158.45116585002296</v>
      </c>
      <c r="K4" s="448">
        <f>huishoudens!K8</f>
        <v>0</v>
      </c>
      <c r="L4" s="448">
        <f>huishoudens!L8</f>
        <v>0</v>
      </c>
      <c r="M4" s="448">
        <f>huishoudens!M8</f>
        <v>0</v>
      </c>
      <c r="N4" s="448">
        <f>huishoudens!N8</f>
        <v>10391.568713252167</v>
      </c>
      <c r="O4" s="448">
        <f>huishoudens!O8</f>
        <v>486.06976374982281</v>
      </c>
      <c r="P4" s="449">
        <f>huishoudens!P8</f>
        <v>726.8431922302666</v>
      </c>
      <c r="Q4" s="450">
        <f>SUM(B4:P4)</f>
        <v>159533.8425391207</v>
      </c>
    </row>
    <row r="5" spans="1:17">
      <c r="A5" s="447" t="s">
        <v>155</v>
      </c>
      <c r="B5" s="448">
        <f ca="1">tertiair!B16</f>
        <v>17125.405862</v>
      </c>
      <c r="C5" s="448">
        <f ca="1">tertiair!C16</f>
        <v>0</v>
      </c>
      <c r="D5" s="448">
        <f ca="1">tertiair!D16</f>
        <v>18185.162250617999</v>
      </c>
      <c r="E5" s="448">
        <f>tertiair!E16</f>
        <v>196.92299140874286</v>
      </c>
      <c r="F5" s="448">
        <f ca="1">tertiair!F16</f>
        <v>2073.2460257066859</v>
      </c>
      <c r="G5" s="448">
        <f>tertiair!G16</f>
        <v>0</v>
      </c>
      <c r="H5" s="448">
        <f>tertiair!H16</f>
        <v>0</v>
      </c>
      <c r="I5" s="448">
        <f>tertiair!I16</f>
        <v>0</v>
      </c>
      <c r="J5" s="448">
        <f>tertiair!J16</f>
        <v>6.981045499930616E-2</v>
      </c>
      <c r="K5" s="448">
        <f>tertiair!K16</f>
        <v>0</v>
      </c>
      <c r="L5" s="448">
        <f ca="1">tertiair!L16</f>
        <v>0</v>
      </c>
      <c r="M5" s="448">
        <f>tertiair!M16</f>
        <v>0</v>
      </c>
      <c r="N5" s="448">
        <f ca="1">tertiair!N16</f>
        <v>2732.8722006153002</v>
      </c>
      <c r="O5" s="448">
        <f>tertiair!O16</f>
        <v>4.8972607658411542</v>
      </c>
      <c r="P5" s="449">
        <f>tertiair!P16</f>
        <v>157.61741491948504</v>
      </c>
      <c r="Q5" s="447">
        <f t="shared" ref="Q5:Q14" ca="1" si="0">SUM(B5:P5)</f>
        <v>40476.193816489053</v>
      </c>
    </row>
    <row r="6" spans="1:17">
      <c r="A6" s="447" t="s">
        <v>193</v>
      </c>
      <c r="B6" s="448">
        <f>'openbare verlichting'!B8</f>
        <v>1281.6479999999999</v>
      </c>
      <c r="C6" s="448"/>
      <c r="D6" s="448"/>
      <c r="E6" s="448"/>
      <c r="F6" s="448"/>
      <c r="G6" s="448"/>
      <c r="H6" s="448"/>
      <c r="I6" s="448"/>
      <c r="J6" s="448"/>
      <c r="K6" s="448"/>
      <c r="L6" s="448"/>
      <c r="M6" s="448"/>
      <c r="N6" s="448"/>
      <c r="O6" s="448"/>
      <c r="P6" s="449"/>
      <c r="Q6" s="447">
        <f t="shared" si="0"/>
        <v>1281.6479999999999</v>
      </c>
    </row>
    <row r="7" spans="1:17">
      <c r="A7" s="447" t="s">
        <v>111</v>
      </c>
      <c r="B7" s="448">
        <f>landbouw!B8</f>
        <v>1780.3706729999999</v>
      </c>
      <c r="C7" s="448">
        <f>landbouw!C8</f>
        <v>0</v>
      </c>
      <c r="D7" s="448">
        <f>landbouw!D8</f>
        <v>8295.3175521039993</v>
      </c>
      <c r="E7" s="448">
        <f>landbouw!E8</f>
        <v>55.564781610510565</v>
      </c>
      <c r="F7" s="448">
        <f>landbouw!F8</f>
        <v>6292.0271825248365</v>
      </c>
      <c r="G7" s="448">
        <f>landbouw!G8</f>
        <v>0</v>
      </c>
      <c r="H7" s="448">
        <f>landbouw!H8</f>
        <v>0</v>
      </c>
      <c r="I7" s="448">
        <f>landbouw!I8</f>
        <v>0</v>
      </c>
      <c r="J7" s="448">
        <f>landbouw!J8</f>
        <v>490.50446717391094</v>
      </c>
      <c r="K7" s="448">
        <f>landbouw!K8</f>
        <v>0</v>
      </c>
      <c r="L7" s="448">
        <f>landbouw!L8</f>
        <v>0</v>
      </c>
      <c r="M7" s="448">
        <f>landbouw!M8</f>
        <v>0</v>
      </c>
      <c r="N7" s="448">
        <f>landbouw!N8</f>
        <v>0</v>
      </c>
      <c r="O7" s="448">
        <f>landbouw!O8</f>
        <v>0</v>
      </c>
      <c r="P7" s="449">
        <f>landbouw!P8</f>
        <v>0</v>
      </c>
      <c r="Q7" s="447">
        <f t="shared" si="0"/>
        <v>16913.78465641326</v>
      </c>
    </row>
    <row r="8" spans="1:17">
      <c r="A8" s="447" t="s">
        <v>618</v>
      </c>
      <c r="B8" s="448">
        <f>industrie!B18</f>
        <v>19639.662279999997</v>
      </c>
      <c r="C8" s="448">
        <f>industrie!C18</f>
        <v>0</v>
      </c>
      <c r="D8" s="448">
        <f>industrie!D18</f>
        <v>11487.419192392001</v>
      </c>
      <c r="E8" s="448">
        <f>industrie!E18</f>
        <v>1178.8389155383215</v>
      </c>
      <c r="F8" s="448">
        <f>industrie!F18</f>
        <v>4206.7948291591993</v>
      </c>
      <c r="G8" s="448">
        <f>industrie!G18</f>
        <v>0</v>
      </c>
      <c r="H8" s="448">
        <f>industrie!H18</f>
        <v>0</v>
      </c>
      <c r="I8" s="448">
        <f>industrie!I18</f>
        <v>0</v>
      </c>
      <c r="J8" s="448">
        <f>industrie!J18</f>
        <v>150.85406619978943</v>
      </c>
      <c r="K8" s="448">
        <f>industrie!K18</f>
        <v>0</v>
      </c>
      <c r="L8" s="448">
        <f>industrie!L18</f>
        <v>0</v>
      </c>
      <c r="M8" s="448">
        <f>industrie!M18</f>
        <v>0</v>
      </c>
      <c r="N8" s="448">
        <f>industrie!N18</f>
        <v>807.6628341494087</v>
      </c>
      <c r="O8" s="448">
        <f>industrie!O18</f>
        <v>0</v>
      </c>
      <c r="P8" s="449">
        <f>industrie!P18</f>
        <v>0</v>
      </c>
      <c r="Q8" s="447">
        <f t="shared" si="0"/>
        <v>37471.232117438718</v>
      </c>
    </row>
    <row r="9" spans="1:17" s="453" customFormat="1">
      <c r="A9" s="451" t="s">
        <v>544</v>
      </c>
      <c r="B9" s="452">
        <f>transport!B14</f>
        <v>312.63288874986387</v>
      </c>
      <c r="C9" s="452">
        <f>transport!C14</f>
        <v>0</v>
      </c>
      <c r="D9" s="452">
        <f>transport!D14</f>
        <v>454.31678968295535</v>
      </c>
      <c r="E9" s="452">
        <f>transport!E14</f>
        <v>461.64906019972778</v>
      </c>
      <c r="F9" s="452">
        <f>transport!F14</f>
        <v>0</v>
      </c>
      <c r="G9" s="452">
        <f>transport!G14</f>
        <v>248397.95073364666</v>
      </c>
      <c r="H9" s="452">
        <f>transport!H14</f>
        <v>41850.736299195116</v>
      </c>
      <c r="I9" s="452">
        <f>transport!I14</f>
        <v>0</v>
      </c>
      <c r="J9" s="452">
        <f>transport!J14</f>
        <v>0</v>
      </c>
      <c r="K9" s="452">
        <f>transport!K14</f>
        <v>0</v>
      </c>
      <c r="L9" s="452">
        <f>transport!L14</f>
        <v>0</v>
      </c>
      <c r="M9" s="452">
        <f>transport!M14</f>
        <v>17089.030902983763</v>
      </c>
      <c r="N9" s="452">
        <f>transport!N14</f>
        <v>0</v>
      </c>
      <c r="O9" s="452">
        <f>transport!O14</f>
        <v>0</v>
      </c>
      <c r="P9" s="452">
        <f>transport!P14</f>
        <v>0</v>
      </c>
      <c r="Q9" s="451">
        <f>SUM(B9:P9)</f>
        <v>308566.31667445804</v>
      </c>
    </row>
    <row r="10" spans="1:17">
      <c r="A10" s="447" t="s">
        <v>534</v>
      </c>
      <c r="B10" s="448">
        <f>transport!B54</f>
        <v>16.661568652602668</v>
      </c>
      <c r="C10" s="448">
        <f>transport!C54</f>
        <v>0</v>
      </c>
      <c r="D10" s="448">
        <f>transport!D54</f>
        <v>0</v>
      </c>
      <c r="E10" s="448">
        <f>transport!E54</f>
        <v>0</v>
      </c>
      <c r="F10" s="448">
        <f>transport!F54</f>
        <v>0</v>
      </c>
      <c r="G10" s="448">
        <f>transport!G54</f>
        <v>1207.1557433238956</v>
      </c>
      <c r="H10" s="448">
        <f>transport!H54</f>
        <v>0</v>
      </c>
      <c r="I10" s="448">
        <f>transport!I54</f>
        <v>0</v>
      </c>
      <c r="J10" s="448">
        <f>transport!J54</f>
        <v>0</v>
      </c>
      <c r="K10" s="448">
        <f>transport!K54</f>
        <v>0</v>
      </c>
      <c r="L10" s="448">
        <f>transport!L54</f>
        <v>0</v>
      </c>
      <c r="M10" s="448">
        <f>transport!M54</f>
        <v>68.280323753467385</v>
      </c>
      <c r="N10" s="448">
        <f>transport!N54</f>
        <v>0</v>
      </c>
      <c r="O10" s="448">
        <f>transport!O54</f>
        <v>0</v>
      </c>
      <c r="P10" s="449">
        <f>transport!P54</f>
        <v>0</v>
      </c>
      <c r="Q10" s="447">
        <f t="shared" si="0"/>
        <v>1292.0976357299658</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1050.276509</v>
      </c>
      <c r="C14" s="455"/>
      <c r="D14" s="455">
        <f>'SEAP template'!E25</f>
        <v>3972.179185</v>
      </c>
      <c r="E14" s="455"/>
      <c r="F14" s="455"/>
      <c r="G14" s="455"/>
      <c r="H14" s="455"/>
      <c r="I14" s="455"/>
      <c r="J14" s="455"/>
      <c r="K14" s="455"/>
      <c r="L14" s="455"/>
      <c r="M14" s="455"/>
      <c r="N14" s="455"/>
      <c r="O14" s="455"/>
      <c r="P14" s="456"/>
      <c r="Q14" s="447">
        <f t="shared" si="0"/>
        <v>5022.4556940000002</v>
      </c>
    </row>
    <row r="15" spans="1:17" s="459" customFormat="1">
      <c r="A15" s="457" t="s">
        <v>538</v>
      </c>
      <c r="B15" s="458">
        <f ca="1">SUM(B4:B14)</f>
        <v>76535.72125855097</v>
      </c>
      <c r="C15" s="458">
        <f t="shared" ref="C15:Q15" ca="1" si="1">SUM(C4:C14)</f>
        <v>0</v>
      </c>
      <c r="D15" s="458">
        <f t="shared" ca="1" si="1"/>
        <v>112713.16556923695</v>
      </c>
      <c r="E15" s="458">
        <f t="shared" si="1"/>
        <v>4353.2442397631467</v>
      </c>
      <c r="F15" s="458">
        <f t="shared" ca="1" si="1"/>
        <v>52234.875173834807</v>
      </c>
      <c r="G15" s="458">
        <f t="shared" si="1"/>
        <v>249605.10647697057</v>
      </c>
      <c r="H15" s="458">
        <f t="shared" si="1"/>
        <v>41850.736299195116</v>
      </c>
      <c r="I15" s="458">
        <f t="shared" si="1"/>
        <v>0</v>
      </c>
      <c r="J15" s="458">
        <f t="shared" si="1"/>
        <v>799.87950967872257</v>
      </c>
      <c r="K15" s="458">
        <f t="shared" si="1"/>
        <v>0</v>
      </c>
      <c r="L15" s="458">
        <f t="shared" ca="1" si="1"/>
        <v>0</v>
      </c>
      <c r="M15" s="458">
        <f t="shared" si="1"/>
        <v>17157.311226737231</v>
      </c>
      <c r="N15" s="458">
        <f t="shared" ca="1" si="1"/>
        <v>13932.103748016876</v>
      </c>
      <c r="O15" s="458">
        <f t="shared" si="1"/>
        <v>490.96702451566398</v>
      </c>
      <c r="P15" s="458">
        <f t="shared" si="1"/>
        <v>884.4606071497517</v>
      </c>
      <c r="Q15" s="458">
        <f t="shared" ca="1" si="1"/>
        <v>570557.57113364968</v>
      </c>
    </row>
    <row r="17" spans="1:17">
      <c r="A17" s="460" t="s">
        <v>539</v>
      </c>
      <c r="B17" s="776">
        <f ca="1">huishoudens!B10</f>
        <v>0.21021730411153206</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7426.7804809513473</v>
      </c>
      <c r="C22" s="448">
        <f t="shared" ref="C22:C32" ca="1" si="3">C4*$C$17</f>
        <v>0</v>
      </c>
      <c r="D22" s="448">
        <f t="shared" ref="D22:D32" si="4">D4*$D$17</f>
        <v>14204.391661086882</v>
      </c>
      <c r="E22" s="448">
        <f t="shared" ref="E22:E32" si="5">E4*$E$17</f>
        <v>558.48094745832668</v>
      </c>
      <c r="F22" s="448">
        <f t="shared" ref="F22:F32" si="6">F4*$F$17</f>
        <v>10589.969505430572</v>
      </c>
      <c r="G22" s="448">
        <f t="shared" ref="G22:G32" si="7">G4*$G$17</f>
        <v>0</v>
      </c>
      <c r="H22" s="448">
        <f t="shared" ref="H22:H32" si="8">H4*$H$17</f>
        <v>0</v>
      </c>
      <c r="I22" s="448">
        <f t="shared" ref="I22:I32" si="9">I4*$I$17</f>
        <v>0</v>
      </c>
      <c r="J22" s="448">
        <f t="shared" ref="J22:J32" si="10">J4*$J$17</f>
        <v>56.091712710908126</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32835.714307638038</v>
      </c>
    </row>
    <row r="23" spans="1:17">
      <c r="A23" s="447" t="s">
        <v>155</v>
      </c>
      <c r="B23" s="448">
        <f t="shared" ca="1" si="2"/>
        <v>3600.0566521254677</v>
      </c>
      <c r="C23" s="448">
        <f t="shared" ca="1" si="3"/>
        <v>0</v>
      </c>
      <c r="D23" s="448">
        <f t="shared" ca="1" si="4"/>
        <v>3673.4027746248362</v>
      </c>
      <c r="E23" s="448">
        <f t="shared" si="5"/>
        <v>44.701519049784629</v>
      </c>
      <c r="F23" s="448">
        <f t="shared" ca="1" si="6"/>
        <v>553.55668886368517</v>
      </c>
      <c r="G23" s="448">
        <f t="shared" si="7"/>
        <v>0</v>
      </c>
      <c r="H23" s="448">
        <f t="shared" si="8"/>
        <v>0</v>
      </c>
      <c r="I23" s="448">
        <f t="shared" si="9"/>
        <v>0</v>
      </c>
      <c r="J23" s="448">
        <f t="shared" si="10"/>
        <v>2.4712901069754378E-2</v>
      </c>
      <c r="K23" s="448">
        <f t="shared" si="11"/>
        <v>0</v>
      </c>
      <c r="L23" s="448">
        <f t="shared" ca="1" si="12"/>
        <v>0</v>
      </c>
      <c r="M23" s="448">
        <f t="shared" si="13"/>
        <v>0</v>
      </c>
      <c r="N23" s="448">
        <f t="shared" ca="1" si="14"/>
        <v>0</v>
      </c>
      <c r="O23" s="448">
        <f t="shared" si="15"/>
        <v>0</v>
      </c>
      <c r="P23" s="449">
        <f t="shared" si="16"/>
        <v>0</v>
      </c>
      <c r="Q23" s="447">
        <f t="shared" ref="Q23:Q31" ca="1" si="17">SUM(B23:P23)</f>
        <v>7871.7423475648429</v>
      </c>
    </row>
    <row r="24" spans="1:17">
      <c r="A24" s="447" t="s">
        <v>193</v>
      </c>
      <c r="B24" s="448">
        <f t="shared" ca="1" si="2"/>
        <v>269.42458737993684</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269.42458737993684</v>
      </c>
    </row>
    <row r="25" spans="1:17">
      <c r="A25" s="447" t="s">
        <v>111</v>
      </c>
      <c r="B25" s="448">
        <f t="shared" ca="1" si="2"/>
        <v>374.26472319729396</v>
      </c>
      <c r="C25" s="448">
        <f t="shared" ca="1" si="3"/>
        <v>0</v>
      </c>
      <c r="D25" s="448">
        <f t="shared" si="4"/>
        <v>1675.6541455250081</v>
      </c>
      <c r="E25" s="448">
        <f t="shared" si="5"/>
        <v>12.613205425585898</v>
      </c>
      <c r="F25" s="448">
        <f t="shared" si="6"/>
        <v>1679.9712577341315</v>
      </c>
      <c r="G25" s="448">
        <f t="shared" si="7"/>
        <v>0</v>
      </c>
      <c r="H25" s="448">
        <f t="shared" si="8"/>
        <v>0</v>
      </c>
      <c r="I25" s="448">
        <f t="shared" si="9"/>
        <v>0</v>
      </c>
      <c r="J25" s="448">
        <f t="shared" si="10"/>
        <v>173.63858137956447</v>
      </c>
      <c r="K25" s="448">
        <f t="shared" si="11"/>
        <v>0</v>
      </c>
      <c r="L25" s="448">
        <f t="shared" si="12"/>
        <v>0</v>
      </c>
      <c r="M25" s="448">
        <f t="shared" si="13"/>
        <v>0</v>
      </c>
      <c r="N25" s="448">
        <f t="shared" si="14"/>
        <v>0</v>
      </c>
      <c r="O25" s="448">
        <f t="shared" si="15"/>
        <v>0</v>
      </c>
      <c r="P25" s="449">
        <f t="shared" si="16"/>
        <v>0</v>
      </c>
      <c r="Q25" s="447">
        <f t="shared" ca="1" si="17"/>
        <v>3916.1419132615842</v>
      </c>
    </row>
    <row r="26" spans="1:17">
      <c r="A26" s="447" t="s">
        <v>618</v>
      </c>
      <c r="B26" s="448">
        <f t="shared" ca="1" si="2"/>
        <v>4128.5968581625448</v>
      </c>
      <c r="C26" s="448">
        <f t="shared" ca="1" si="3"/>
        <v>0</v>
      </c>
      <c r="D26" s="448">
        <f t="shared" si="4"/>
        <v>2320.4586768631843</v>
      </c>
      <c r="E26" s="448">
        <f t="shared" si="5"/>
        <v>267.59643382719901</v>
      </c>
      <c r="F26" s="448">
        <f t="shared" si="6"/>
        <v>1123.2142193855063</v>
      </c>
      <c r="G26" s="448">
        <f t="shared" si="7"/>
        <v>0</v>
      </c>
      <c r="H26" s="448">
        <f t="shared" si="8"/>
        <v>0</v>
      </c>
      <c r="I26" s="448">
        <f t="shared" si="9"/>
        <v>0</v>
      </c>
      <c r="J26" s="448">
        <f t="shared" si="10"/>
        <v>53.402339434725455</v>
      </c>
      <c r="K26" s="448">
        <f t="shared" si="11"/>
        <v>0</v>
      </c>
      <c r="L26" s="448">
        <f t="shared" si="12"/>
        <v>0</v>
      </c>
      <c r="M26" s="448">
        <f t="shared" si="13"/>
        <v>0</v>
      </c>
      <c r="N26" s="448">
        <f t="shared" si="14"/>
        <v>0</v>
      </c>
      <c r="O26" s="448">
        <f t="shared" si="15"/>
        <v>0</v>
      </c>
      <c r="P26" s="449">
        <f t="shared" si="16"/>
        <v>0</v>
      </c>
      <c r="Q26" s="447">
        <f t="shared" ca="1" si="17"/>
        <v>7893.268527673159</v>
      </c>
    </row>
    <row r="27" spans="1:17" s="453" customFormat="1">
      <c r="A27" s="451" t="s">
        <v>544</v>
      </c>
      <c r="B27" s="770">
        <f t="shared" ca="1" si="2"/>
        <v>65.720843049596894</v>
      </c>
      <c r="C27" s="452">
        <f t="shared" ca="1" si="3"/>
        <v>0</v>
      </c>
      <c r="D27" s="452">
        <f t="shared" si="4"/>
        <v>91.771991515956984</v>
      </c>
      <c r="E27" s="452">
        <f t="shared" si="5"/>
        <v>104.79433666533821</v>
      </c>
      <c r="F27" s="452">
        <f t="shared" si="6"/>
        <v>0</v>
      </c>
      <c r="G27" s="452">
        <f t="shared" si="7"/>
        <v>66322.25284588366</v>
      </c>
      <c r="H27" s="452">
        <f t="shared" si="8"/>
        <v>10420.833338499584</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77005.373355614138</v>
      </c>
    </row>
    <row r="28" spans="1:17" ht="16.5" customHeight="1">
      <c r="A28" s="447" t="s">
        <v>534</v>
      </c>
      <c r="B28" s="448">
        <f t="shared" ca="1" si="2"/>
        <v>3.5025500444193445</v>
      </c>
      <c r="C28" s="448">
        <f t="shared" ca="1" si="3"/>
        <v>0</v>
      </c>
      <c r="D28" s="448">
        <f t="shared" si="4"/>
        <v>0</v>
      </c>
      <c r="E28" s="448">
        <f t="shared" si="5"/>
        <v>0</v>
      </c>
      <c r="F28" s="448">
        <f t="shared" si="6"/>
        <v>0</v>
      </c>
      <c r="G28" s="448">
        <f t="shared" si="7"/>
        <v>322.31058346748017</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325.81313351189954</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220.78629629365125</v>
      </c>
      <c r="C32" s="448">
        <f t="shared" ca="1" si="3"/>
        <v>0</v>
      </c>
      <c r="D32" s="448">
        <f t="shared" si="4"/>
        <v>802.38019537000002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1023.1664916636513</v>
      </c>
    </row>
    <row r="33" spans="1:17" s="459" customFormat="1">
      <c r="A33" s="457" t="s">
        <v>538</v>
      </c>
      <c r="B33" s="458">
        <f ca="1">SUM(B22:B32)</f>
        <v>16089.132991204258</v>
      </c>
      <c r="C33" s="458">
        <f t="shared" ref="C33:Q33" ca="1" si="19">SUM(C22:C32)</f>
        <v>0</v>
      </c>
      <c r="D33" s="458">
        <f t="shared" ca="1" si="19"/>
        <v>22768.059444985869</v>
      </c>
      <c r="E33" s="458">
        <f t="shared" si="19"/>
        <v>988.18644242623441</v>
      </c>
      <c r="F33" s="458">
        <f t="shared" ca="1" si="19"/>
        <v>13946.711671413897</v>
      </c>
      <c r="G33" s="458">
        <f t="shared" si="19"/>
        <v>66644.563429351139</v>
      </c>
      <c r="H33" s="458">
        <f t="shared" si="19"/>
        <v>10420.833338499584</v>
      </c>
      <c r="I33" s="458">
        <f t="shared" si="19"/>
        <v>0</v>
      </c>
      <c r="J33" s="458">
        <f t="shared" si="19"/>
        <v>283.15734642626779</v>
      </c>
      <c r="K33" s="458">
        <f t="shared" si="19"/>
        <v>0</v>
      </c>
      <c r="L33" s="458">
        <f t="shared" ca="1" si="19"/>
        <v>0</v>
      </c>
      <c r="M33" s="458">
        <f t="shared" si="19"/>
        <v>0</v>
      </c>
      <c r="N33" s="458">
        <f t="shared" ca="1" si="19"/>
        <v>0</v>
      </c>
      <c r="O33" s="458">
        <f t="shared" si="19"/>
        <v>0</v>
      </c>
      <c r="P33" s="458">
        <f t="shared" si="19"/>
        <v>0</v>
      </c>
      <c r="Q33" s="458">
        <f t="shared" ca="1" si="19"/>
        <v>131140.64466430727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3734.2145110203828</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3734.2145110203828</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0.21021730411153206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0.21021730411153206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0.21021730411153206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0.21021730411153206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7582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815.38</v>
      </c>
      <c r="C14" s="326"/>
      <c r="D14" s="326"/>
      <c r="E14" s="326"/>
      <c r="F14" s="326"/>
    </row>
    <row r="15" spans="1:6">
      <c r="A15" s="1298" t="s">
        <v>183</v>
      </c>
      <c r="B15" s="1299">
        <v>4</v>
      </c>
      <c r="C15" s="326"/>
      <c r="D15" s="326"/>
      <c r="E15" s="326"/>
      <c r="F15" s="326"/>
    </row>
    <row r="16" spans="1:6">
      <c r="A16" s="1298" t="s">
        <v>6</v>
      </c>
      <c r="B16" s="1299">
        <v>164</v>
      </c>
      <c r="C16" s="326"/>
      <c r="D16" s="326"/>
      <c r="E16" s="326"/>
      <c r="F16" s="326"/>
    </row>
    <row r="17" spans="1:6">
      <c r="A17" s="1298" t="s">
        <v>7</v>
      </c>
      <c r="B17" s="1299">
        <v>47</v>
      </c>
      <c r="C17" s="326"/>
      <c r="D17" s="326"/>
      <c r="E17" s="326"/>
      <c r="F17" s="326"/>
    </row>
    <row r="18" spans="1:6">
      <c r="A18" s="1298" t="s">
        <v>8</v>
      </c>
      <c r="B18" s="1299">
        <v>105</v>
      </c>
      <c r="C18" s="326"/>
      <c r="D18" s="326"/>
      <c r="E18" s="326"/>
      <c r="F18" s="326"/>
    </row>
    <row r="19" spans="1:6">
      <c r="A19" s="1298" t="s">
        <v>9</v>
      </c>
      <c r="B19" s="1299">
        <v>108</v>
      </c>
      <c r="C19" s="326"/>
      <c r="D19" s="326"/>
      <c r="E19" s="326"/>
      <c r="F19" s="326"/>
    </row>
    <row r="20" spans="1:6">
      <c r="A20" s="1298" t="s">
        <v>10</v>
      </c>
      <c r="B20" s="1299">
        <v>68</v>
      </c>
      <c r="C20" s="326"/>
      <c r="D20" s="326"/>
      <c r="E20" s="326"/>
      <c r="F20" s="326"/>
    </row>
    <row r="21" spans="1:6">
      <c r="A21" s="1298" t="s">
        <v>11</v>
      </c>
      <c r="B21" s="1299">
        <v>630</v>
      </c>
      <c r="C21" s="326"/>
      <c r="D21" s="326"/>
      <c r="E21" s="326"/>
      <c r="F21" s="326"/>
    </row>
    <row r="22" spans="1:6">
      <c r="A22" s="1298" t="s">
        <v>12</v>
      </c>
      <c r="B22" s="1299">
        <v>756</v>
      </c>
      <c r="C22" s="326"/>
      <c r="D22" s="326"/>
      <c r="E22" s="326"/>
      <c r="F22" s="326"/>
    </row>
    <row r="23" spans="1:6">
      <c r="A23" s="1298" t="s">
        <v>13</v>
      </c>
      <c r="B23" s="1299">
        <v>10</v>
      </c>
      <c r="C23" s="326"/>
      <c r="D23" s="326"/>
      <c r="E23" s="326"/>
      <c r="F23" s="326"/>
    </row>
    <row r="24" spans="1:6">
      <c r="A24" s="1298" t="s">
        <v>14</v>
      </c>
      <c r="B24" s="1299">
        <v>1</v>
      </c>
      <c r="C24" s="326"/>
      <c r="D24" s="326"/>
      <c r="E24" s="326"/>
      <c r="F24" s="326"/>
    </row>
    <row r="25" spans="1:6">
      <c r="A25" s="1298" t="s">
        <v>15</v>
      </c>
      <c r="B25" s="1299">
        <v>130</v>
      </c>
      <c r="C25" s="326"/>
      <c r="D25" s="326"/>
      <c r="E25" s="326"/>
      <c r="F25" s="326"/>
    </row>
    <row r="26" spans="1:6">
      <c r="A26" s="1298" t="s">
        <v>16</v>
      </c>
      <c r="B26" s="1299">
        <v>50</v>
      </c>
      <c r="C26" s="326"/>
      <c r="D26" s="326"/>
      <c r="E26" s="326"/>
      <c r="F26" s="326"/>
    </row>
    <row r="27" spans="1:6">
      <c r="A27" s="1298" t="s">
        <v>17</v>
      </c>
      <c r="B27" s="1299">
        <v>2</v>
      </c>
      <c r="C27" s="326"/>
      <c r="D27" s="326"/>
      <c r="E27" s="326"/>
      <c r="F27" s="326"/>
    </row>
    <row r="28" spans="1:6" s="43" customFormat="1">
      <c r="A28" s="1300" t="s">
        <v>18</v>
      </c>
      <c r="B28" s="1301">
        <v>57377</v>
      </c>
      <c r="C28" s="332"/>
      <c r="D28" s="332"/>
      <c r="E28" s="332"/>
      <c r="F28" s="332"/>
    </row>
    <row r="29" spans="1:6">
      <c r="A29" s="1300" t="s">
        <v>695</v>
      </c>
      <c r="B29" s="1301">
        <v>234</v>
      </c>
      <c r="C29" s="332"/>
      <c r="D29" s="332"/>
      <c r="E29" s="332"/>
      <c r="F29" s="332"/>
    </row>
    <row r="30" spans="1:6">
      <c r="A30" s="1293" t="s">
        <v>696</v>
      </c>
      <c r="B30" s="1302">
        <v>37</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3</v>
      </c>
      <c r="F38" s="1299">
        <v>17448.313999999998</v>
      </c>
    </row>
    <row r="39" spans="1:6">
      <c r="A39" s="1298" t="s">
        <v>29</v>
      </c>
      <c r="B39" s="1298" t="s">
        <v>30</v>
      </c>
      <c r="C39" s="1299">
        <v>4906</v>
      </c>
      <c r="D39" s="1299">
        <v>77958725.719999999</v>
      </c>
      <c r="E39" s="1299">
        <v>7326</v>
      </c>
      <c r="F39" s="1299">
        <v>32046082.109999999</v>
      </c>
    </row>
    <row r="40" spans="1:6">
      <c r="A40" s="1298" t="s">
        <v>29</v>
      </c>
      <c r="B40" s="1298" t="s">
        <v>28</v>
      </c>
      <c r="C40" s="1299">
        <v>0</v>
      </c>
      <c r="D40" s="1299">
        <v>0</v>
      </c>
      <c r="E40" s="1299">
        <v>0</v>
      </c>
      <c r="F40" s="1299">
        <v>0</v>
      </c>
    </row>
    <row r="41" spans="1:6">
      <c r="A41" s="1298" t="s">
        <v>31</v>
      </c>
      <c r="B41" s="1298" t="s">
        <v>32</v>
      </c>
      <c r="C41" s="1299">
        <v>71</v>
      </c>
      <c r="D41" s="1299">
        <v>1309097.996</v>
      </c>
      <c r="E41" s="1299">
        <v>145</v>
      </c>
      <c r="F41" s="1299">
        <v>1138248.798</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48562.123</v>
      </c>
      <c r="E44" s="1299">
        <v>11</v>
      </c>
      <c r="F44" s="1299">
        <v>151843.12299999999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28</v>
      </c>
      <c r="D48" s="1299">
        <v>11287948.93</v>
      </c>
      <c r="E48" s="1299">
        <v>48</v>
      </c>
      <c r="F48" s="1299">
        <v>18242034.469999999</v>
      </c>
    </row>
    <row r="49" spans="1:6">
      <c r="A49" s="1298" t="s">
        <v>31</v>
      </c>
      <c r="B49" s="1298" t="s">
        <v>39</v>
      </c>
      <c r="C49" s="1299">
        <v>0</v>
      </c>
      <c r="D49" s="1299">
        <v>0</v>
      </c>
      <c r="E49" s="1299">
        <v>0</v>
      </c>
      <c r="F49" s="1299">
        <v>0</v>
      </c>
    </row>
    <row r="50" spans="1:6">
      <c r="A50" s="1298" t="s">
        <v>31</v>
      </c>
      <c r="B50" s="1298" t="s">
        <v>40</v>
      </c>
      <c r="C50" s="1299">
        <v>3</v>
      </c>
      <c r="D50" s="1299">
        <v>89888.947</v>
      </c>
      <c r="E50" s="1299">
        <v>6</v>
      </c>
      <c r="F50" s="1299">
        <v>107535.889</v>
      </c>
    </row>
    <row r="51" spans="1:6">
      <c r="A51" s="1298" t="s">
        <v>41</v>
      </c>
      <c r="B51" s="1298" t="s">
        <v>42</v>
      </c>
      <c r="C51" s="1299">
        <v>14</v>
      </c>
      <c r="D51" s="1299">
        <v>9072217.1669999994</v>
      </c>
      <c r="E51" s="1299">
        <v>62</v>
      </c>
      <c r="F51" s="1299">
        <v>1692478.602</v>
      </c>
    </row>
    <row r="52" spans="1:6">
      <c r="A52" s="1298" t="s">
        <v>41</v>
      </c>
      <c r="B52" s="1298" t="s">
        <v>28</v>
      </c>
      <c r="C52" s="1299">
        <v>4</v>
      </c>
      <c r="D52" s="1299">
        <v>124365.485</v>
      </c>
      <c r="E52" s="1299">
        <v>6</v>
      </c>
      <c r="F52" s="1299">
        <v>87892.070999999996</v>
      </c>
    </row>
    <row r="53" spans="1:6">
      <c r="A53" s="1298" t="s">
        <v>43</v>
      </c>
      <c r="B53" s="1298" t="s">
        <v>44</v>
      </c>
      <c r="C53" s="1299">
        <v>111</v>
      </c>
      <c r="D53" s="1299">
        <v>3972179.1850000001</v>
      </c>
      <c r="E53" s="1299">
        <v>289</v>
      </c>
      <c r="F53" s="1299">
        <v>1050276.5090000001</v>
      </c>
    </row>
    <row r="54" spans="1:6">
      <c r="A54" s="1298" t="s">
        <v>45</v>
      </c>
      <c r="B54" s="1298" t="s">
        <v>46</v>
      </c>
      <c r="C54" s="1299">
        <v>0</v>
      </c>
      <c r="D54" s="1299">
        <v>0</v>
      </c>
      <c r="E54" s="1299">
        <v>2</v>
      </c>
      <c r="F54" s="1299">
        <v>1281648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44</v>
      </c>
      <c r="D57" s="1299">
        <v>1904246.4469999999</v>
      </c>
      <c r="E57" s="1299">
        <v>93</v>
      </c>
      <c r="F57" s="1299">
        <v>3873312.986</v>
      </c>
    </row>
    <row r="58" spans="1:6">
      <c r="A58" s="1298" t="s">
        <v>48</v>
      </c>
      <c r="B58" s="1298" t="s">
        <v>50</v>
      </c>
      <c r="C58" s="1299">
        <v>39</v>
      </c>
      <c r="D58" s="1299">
        <v>1071131.96</v>
      </c>
      <c r="E58" s="1299">
        <v>60</v>
      </c>
      <c r="F58" s="1299">
        <v>696425.24</v>
      </c>
    </row>
    <row r="59" spans="1:6">
      <c r="A59" s="1298" t="s">
        <v>48</v>
      </c>
      <c r="B59" s="1298" t="s">
        <v>51</v>
      </c>
      <c r="C59" s="1299">
        <v>57</v>
      </c>
      <c r="D59" s="1299">
        <v>3139151.8169999998</v>
      </c>
      <c r="E59" s="1299">
        <v>178</v>
      </c>
      <c r="F59" s="1299">
        <v>3768007.3089999999</v>
      </c>
    </row>
    <row r="60" spans="1:6">
      <c r="A60" s="1298" t="s">
        <v>48</v>
      </c>
      <c r="B60" s="1298" t="s">
        <v>52</v>
      </c>
      <c r="C60" s="1299">
        <v>53</v>
      </c>
      <c r="D60" s="1299">
        <v>2160870.5929999999</v>
      </c>
      <c r="E60" s="1299">
        <v>81</v>
      </c>
      <c r="F60" s="1299">
        <v>1691113.5660000001</v>
      </c>
    </row>
    <row r="61" spans="1:6">
      <c r="A61" s="1298" t="s">
        <v>48</v>
      </c>
      <c r="B61" s="1298" t="s">
        <v>53</v>
      </c>
      <c r="C61" s="1299">
        <v>194</v>
      </c>
      <c r="D61" s="1299">
        <v>7678504.75</v>
      </c>
      <c r="E61" s="1299">
        <v>380</v>
      </c>
      <c r="F61" s="1299">
        <v>4809485.3279999997</v>
      </c>
    </row>
    <row r="62" spans="1:6">
      <c r="A62" s="1298" t="s">
        <v>48</v>
      </c>
      <c r="B62" s="1298" t="s">
        <v>54</v>
      </c>
      <c r="C62" s="1299">
        <v>6</v>
      </c>
      <c r="D62" s="1299">
        <v>551166.60699999996</v>
      </c>
      <c r="E62" s="1299">
        <v>12</v>
      </c>
      <c r="F62" s="1299">
        <v>170184.74600000001</v>
      </c>
    </row>
    <row r="63" spans="1:6">
      <c r="A63" s="1298" t="s">
        <v>48</v>
      </c>
      <c r="B63" s="1298" t="s">
        <v>28</v>
      </c>
      <c r="C63" s="1299">
        <v>94</v>
      </c>
      <c r="D63" s="1299">
        <v>3655861.585</v>
      </c>
      <c r="E63" s="1299">
        <v>98</v>
      </c>
      <c r="F63" s="1299">
        <v>2116876.6869999999</v>
      </c>
    </row>
    <row r="64" spans="1:6">
      <c r="A64" s="1298" t="s">
        <v>55</v>
      </c>
      <c r="B64" s="1298" t="s">
        <v>56</v>
      </c>
      <c r="C64" s="1299">
        <v>0</v>
      </c>
      <c r="D64" s="1299">
        <v>0</v>
      </c>
      <c r="E64" s="1299">
        <v>0</v>
      </c>
      <c r="F64" s="1299">
        <v>0</v>
      </c>
    </row>
    <row r="65" spans="1:6">
      <c r="A65" s="1298" t="s">
        <v>55</v>
      </c>
      <c r="B65" s="1298" t="s">
        <v>28</v>
      </c>
      <c r="C65" s="1299">
        <v>2</v>
      </c>
      <c r="D65" s="1299">
        <v>86681.092000000004</v>
      </c>
      <c r="E65" s="1299">
        <v>5</v>
      </c>
      <c r="F65" s="1299">
        <v>699388.24199999997</v>
      </c>
    </row>
    <row r="66" spans="1:6">
      <c r="A66" s="1298" t="s">
        <v>55</v>
      </c>
      <c r="B66" s="1298" t="s">
        <v>57</v>
      </c>
      <c r="C66" s="1299">
        <v>0</v>
      </c>
      <c r="D66" s="1299">
        <v>0</v>
      </c>
      <c r="E66" s="1299">
        <v>7</v>
      </c>
      <c r="F66" s="1299">
        <v>616930.20499999996</v>
      </c>
    </row>
    <row r="67" spans="1:6">
      <c r="A67" s="1300" t="s">
        <v>55</v>
      </c>
      <c r="B67" s="1300" t="s">
        <v>58</v>
      </c>
      <c r="C67" s="1299">
        <v>0</v>
      </c>
      <c r="D67" s="1299">
        <v>0</v>
      </c>
      <c r="E67" s="1299">
        <v>0</v>
      </c>
      <c r="F67" s="1299">
        <v>0</v>
      </c>
    </row>
    <row r="68" spans="1:6">
      <c r="A68" s="1293" t="s">
        <v>55</v>
      </c>
      <c r="B68" s="1293" t="s">
        <v>59</v>
      </c>
      <c r="C68" s="1302">
        <v>9</v>
      </c>
      <c r="D68" s="1302">
        <v>1059574.041</v>
      </c>
      <c r="E68" s="1302">
        <v>11</v>
      </c>
      <c r="F68" s="1302">
        <v>95374.97</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30530839</v>
      </c>
      <c r="E73" s="446"/>
      <c r="F73" s="326"/>
    </row>
    <row r="74" spans="1:6">
      <c r="A74" s="1298" t="s">
        <v>63</v>
      </c>
      <c r="B74" s="1298" t="s">
        <v>639</v>
      </c>
      <c r="C74" s="1312" t="s">
        <v>641</v>
      </c>
      <c r="D74" s="1313">
        <v>3574470.5</v>
      </c>
      <c r="E74" s="446"/>
      <c r="F74" s="326"/>
    </row>
    <row r="75" spans="1:6">
      <c r="A75" s="1298" t="s">
        <v>64</v>
      </c>
      <c r="B75" s="1298" t="s">
        <v>638</v>
      </c>
      <c r="C75" s="1312" t="s">
        <v>642</v>
      </c>
      <c r="D75" s="1313">
        <v>23619178</v>
      </c>
      <c r="E75" s="446"/>
      <c r="F75" s="326"/>
    </row>
    <row r="76" spans="1:6">
      <c r="A76" s="1298" t="s">
        <v>64</v>
      </c>
      <c r="B76" s="1298" t="s">
        <v>639</v>
      </c>
      <c r="C76" s="1312" t="s">
        <v>643</v>
      </c>
      <c r="D76" s="1313">
        <v>1177705.5</v>
      </c>
      <c r="E76" s="446"/>
      <c r="F76" s="326"/>
    </row>
    <row r="77" spans="1:6">
      <c r="A77" s="1298" t="s">
        <v>65</v>
      </c>
      <c r="B77" s="1298" t="s">
        <v>638</v>
      </c>
      <c r="C77" s="1312" t="s">
        <v>644</v>
      </c>
      <c r="D77" s="1313">
        <v>226976201</v>
      </c>
      <c r="E77" s="446"/>
      <c r="F77" s="326"/>
    </row>
    <row r="78" spans="1:6">
      <c r="A78" s="1293" t="s">
        <v>65</v>
      </c>
      <c r="B78" s="1293" t="s">
        <v>639</v>
      </c>
      <c r="C78" s="1293" t="s">
        <v>645</v>
      </c>
      <c r="D78" s="1314">
        <v>40895788</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354061</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3282.9813671485094</v>
      </c>
      <c r="C91" s="326"/>
      <c r="D91" s="326"/>
      <c r="E91" s="326"/>
      <c r="F91" s="326"/>
    </row>
    <row r="92" spans="1:6">
      <c r="A92" s="1293" t="s">
        <v>68</v>
      </c>
      <c r="B92" s="1294">
        <v>451.23314387187361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2414</v>
      </c>
      <c r="C97" s="326"/>
      <c r="D97" s="326"/>
      <c r="E97" s="326"/>
      <c r="F97" s="326"/>
    </row>
    <row r="98" spans="1:6">
      <c r="A98" s="1298" t="s">
        <v>71</v>
      </c>
      <c r="B98" s="1299">
        <v>0</v>
      </c>
      <c r="C98" s="326"/>
      <c r="D98" s="326"/>
      <c r="E98" s="326"/>
      <c r="F98" s="326"/>
    </row>
    <row r="99" spans="1:6">
      <c r="A99" s="1298" t="s">
        <v>72</v>
      </c>
      <c r="B99" s="1299">
        <v>71</v>
      </c>
      <c r="C99" s="326"/>
      <c r="D99" s="326"/>
      <c r="E99" s="326"/>
      <c r="F99" s="326"/>
    </row>
    <row r="100" spans="1:6">
      <c r="A100" s="1298" t="s">
        <v>73</v>
      </c>
      <c r="B100" s="1299">
        <v>936</v>
      </c>
      <c r="C100" s="326"/>
      <c r="D100" s="326"/>
      <c r="E100" s="326"/>
      <c r="F100" s="326"/>
    </row>
    <row r="101" spans="1:6">
      <c r="A101" s="1298" t="s">
        <v>74</v>
      </c>
      <c r="B101" s="1299">
        <v>69</v>
      </c>
      <c r="C101" s="326"/>
      <c r="D101" s="326"/>
      <c r="E101" s="326"/>
      <c r="F101" s="326"/>
    </row>
    <row r="102" spans="1:6">
      <c r="A102" s="1298" t="s">
        <v>75</v>
      </c>
      <c r="B102" s="1299">
        <v>106</v>
      </c>
      <c r="C102" s="326"/>
      <c r="D102" s="326"/>
      <c r="E102" s="326"/>
      <c r="F102" s="326"/>
    </row>
    <row r="103" spans="1:6">
      <c r="A103" s="1298" t="s">
        <v>76</v>
      </c>
      <c r="B103" s="1299">
        <v>213</v>
      </c>
      <c r="C103" s="326"/>
      <c r="D103" s="326"/>
      <c r="E103" s="326"/>
      <c r="F103" s="326"/>
    </row>
    <row r="104" spans="1:6">
      <c r="A104" s="1298" t="s">
        <v>77</v>
      </c>
      <c r="B104" s="1299">
        <v>2822</v>
      </c>
      <c r="C104" s="326"/>
      <c r="D104" s="326"/>
      <c r="E104" s="326"/>
      <c r="F104" s="326"/>
    </row>
    <row r="105" spans="1:6">
      <c r="A105" s="1293" t="s">
        <v>78</v>
      </c>
      <c r="B105" s="1302">
        <v>8</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40</v>
      </c>
      <c r="C123" s="1299">
        <v>74</v>
      </c>
      <c r="D123" s="326"/>
      <c r="E123" s="326"/>
      <c r="F123" s="326"/>
    </row>
    <row r="124" spans="1:6" s="43" customFormat="1">
      <c r="A124" s="1300" t="s">
        <v>88</v>
      </c>
      <c r="B124" s="1321">
        <v>0</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169</v>
      </c>
      <c r="C129" s="326"/>
      <c r="D129" s="326"/>
      <c r="E129" s="326"/>
      <c r="F129" s="326"/>
    </row>
    <row r="130" spans="1:6">
      <c r="A130" s="1298" t="s">
        <v>289</v>
      </c>
      <c r="B130" s="1299">
        <v>1</v>
      </c>
      <c r="C130" s="326"/>
      <c r="D130" s="326"/>
      <c r="E130" s="326"/>
      <c r="F130" s="326"/>
    </row>
    <row r="131" spans="1:6">
      <c r="A131" s="1298" t="s">
        <v>290</v>
      </c>
      <c r="B131" s="1299">
        <v>3</v>
      </c>
      <c r="C131" s="326"/>
      <c r="D131" s="326"/>
      <c r="E131" s="326"/>
      <c r="F131" s="326"/>
    </row>
    <row r="132" spans="1:6">
      <c r="A132" s="1293" t="s">
        <v>291</v>
      </c>
      <c r="B132" s="1294">
        <v>29</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76535.72125855097</v>
      </c>
      <c r="C3" s="43" t="s">
        <v>169</v>
      </c>
      <c r="D3" s="43"/>
      <c r="E3" s="154"/>
      <c r="F3" s="43"/>
      <c r="G3" s="43"/>
      <c r="H3" s="43"/>
      <c r="I3" s="43"/>
      <c r="J3" s="43"/>
      <c r="K3" s="96"/>
    </row>
    <row r="4" spans="1:11">
      <c r="A4" s="354" t="s">
        <v>170</v>
      </c>
      <c r="B4" s="49">
        <f>IF(ISERROR('SEAP template'!B78+'SEAP template'!C78),0,'SEAP template'!B78+'SEAP template'!C78)</f>
        <v>3734.2145110203828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0.21021730411153206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1281.6479999999999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1281.6479999999999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0.21021730411153206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269.42458737993684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32046.082109999999</v>
      </c>
      <c r="C5" s="17">
        <f>IF(ISERROR('Eigen informatie GS &amp; warmtenet'!B59),0,'Eigen informatie GS &amp; warmtenet'!B59)</f>
        <v>0</v>
      </c>
      <c r="D5" s="30">
        <f>(SUM(HH_hh_gas_kWh,HH_rest_gas_kWh)/1000)*0.902</f>
        <v>70318.770599440002</v>
      </c>
      <c r="E5" s="17">
        <f>B32*B41</f>
        <v>2460.2684910058442</v>
      </c>
      <c r="F5" s="17">
        <f>B36*B45</f>
        <v>39662.807136444091</v>
      </c>
      <c r="G5" s="18"/>
      <c r="H5" s="17"/>
      <c r="I5" s="17"/>
      <c r="J5" s="17">
        <f>B35*B44+C35*C44</f>
        <v>158.45116585002296</v>
      </c>
      <c r="K5" s="17"/>
      <c r="L5" s="17"/>
      <c r="M5" s="17"/>
      <c r="N5" s="17">
        <f>B34*B43+C34*C43</f>
        <v>10391.568713252167</v>
      </c>
      <c r="O5" s="17">
        <f>B52*B53*B54</f>
        <v>486.06976374982281</v>
      </c>
      <c r="P5" s="17">
        <f>B60*B61*B62/1000-B60*B61*B62/1000/B63</f>
        <v>726.8431922302666</v>
      </c>
    </row>
    <row r="6" spans="1:16">
      <c r="A6" s="16" t="s">
        <v>604</v>
      </c>
      <c r="B6" s="778">
        <f>kWh_PV_kleiner_dan_10kW</f>
        <v>3282.9813671485094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35329.063477148506</v>
      </c>
      <c r="C8" s="21">
        <f>C5</f>
        <v>0</v>
      </c>
      <c r="D8" s="21">
        <f>D5</f>
        <v>70318.770599440002</v>
      </c>
      <c r="E8" s="21">
        <f>E5</f>
        <v>2460.2684910058442</v>
      </c>
      <c r="F8" s="21">
        <f>F5</f>
        <v>39662.807136444091</v>
      </c>
      <c r="G8" s="21"/>
      <c r="H8" s="21"/>
      <c r="I8" s="21"/>
      <c r="J8" s="21">
        <f>J5</f>
        <v>158.45116585002296</v>
      </c>
      <c r="K8" s="21"/>
      <c r="L8" s="21">
        <f>L5</f>
        <v>0</v>
      </c>
      <c r="M8" s="21">
        <f>M5</f>
        <v>0</v>
      </c>
      <c r="N8" s="21">
        <f>N5</f>
        <v>10391.568713252167</v>
      </c>
      <c r="O8" s="21">
        <f>O5</f>
        <v>486.06976374982281</v>
      </c>
      <c r="P8" s="21">
        <f>P5</f>
        <v>726.8431922302666</v>
      </c>
    </row>
    <row r="9" spans="1:16">
      <c r="B9" s="19"/>
      <c r="C9" s="19"/>
      <c r="D9" s="256"/>
      <c r="E9" s="19"/>
      <c r="F9" s="19"/>
      <c r="G9" s="19"/>
      <c r="H9" s="19"/>
      <c r="I9" s="19"/>
      <c r="J9" s="19"/>
      <c r="K9" s="19"/>
      <c r="L9" s="19"/>
      <c r="M9" s="19"/>
      <c r="N9" s="19"/>
      <c r="O9" s="19"/>
      <c r="P9" s="19"/>
    </row>
    <row r="10" spans="1:16">
      <c r="A10" s="24" t="s">
        <v>213</v>
      </c>
      <c r="B10" s="25">
        <f ca="1">'EF ele_warmte'!B12</f>
        <v>0.21021730411153206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7426.7804809513473</v>
      </c>
      <c r="C12" s="23">
        <f ca="1">C10*C8</f>
        <v>0</v>
      </c>
      <c r="D12" s="23">
        <f>D8*D10</f>
        <v>14204.391661086882</v>
      </c>
      <c r="E12" s="23">
        <f>E10*E8</f>
        <v>558.48094745832668</v>
      </c>
      <c r="F12" s="23">
        <f>F10*F8</f>
        <v>10589.969505430572</v>
      </c>
      <c r="G12" s="23"/>
      <c r="H12" s="23"/>
      <c r="I12" s="23"/>
      <c r="J12" s="23">
        <f>J10*J8</f>
        <v>56.091712710908126</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7582</v>
      </c>
      <c r="C26" s="36"/>
      <c r="D26" s="226"/>
    </row>
    <row r="27" spans="1:7" s="15" customFormat="1">
      <c r="A27" s="228" t="s">
        <v>806</v>
      </c>
      <c r="B27" s="37">
        <f>SUM(HH_hh_gas_aantal,HH_rest_gas_aantal)</f>
        <v>4906</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4660.7</v>
      </c>
      <c r="C31" s="166" t="s">
        <v>110</v>
      </c>
      <c r="D31" s="231"/>
      <c r="G31" s="15"/>
    </row>
    <row r="32" spans="1:7">
      <c r="A32" s="169" t="s">
        <v>72</v>
      </c>
      <c r="B32" s="166">
        <f>IF((B21*($B$26-($B$27-0.05*$B$27)-$B$60))&lt;0,0,B21*($B$26-($B$27-0.05*$B$27)-$B$60))</f>
        <v>45.280829234709941</v>
      </c>
      <c r="C32" s="166" t="s">
        <v>110</v>
      </c>
      <c r="D32" s="231"/>
      <c r="G32" s="15"/>
    </row>
    <row r="33" spans="1:7">
      <c r="A33" s="169" t="s">
        <v>73</v>
      </c>
      <c r="B33" s="166">
        <f>IF((B22*($B$26-($B$27-0.05*$B$27)-$B$60))&lt;0,0,B22*($B$26-($B$27-0.05*$B$27)-$B$60))</f>
        <v>735.27098710507607</v>
      </c>
      <c r="C33" s="166" t="s">
        <v>110</v>
      </c>
      <c r="D33" s="231"/>
      <c r="G33" s="15"/>
    </row>
    <row r="34" spans="1:7">
      <c r="A34" s="169" t="s">
        <v>74</v>
      </c>
      <c r="B34" s="166">
        <f>IF((B24*($B$26-($B$27-0.05*$B$27)-$B$60))&lt;0,0,B24*($B$26-($B$27-0.05*$B$27)-$B$60))</f>
        <v>140.9612879656288</v>
      </c>
      <c r="C34" s="166">
        <f>B26*C24</f>
        <v>1553.596835613218</v>
      </c>
      <c r="D34" s="231"/>
      <c r="G34" s="15"/>
    </row>
    <row r="35" spans="1:7">
      <c r="A35" s="169" t="s">
        <v>76</v>
      </c>
      <c r="B35" s="166">
        <f>IF((B19*($B$26-($B$27-0.05*$B$27)-$B$60))&lt;0,0,B19*($B$26-($B$27-0.05*$B$27)-$B$60))</f>
        <v>19.683468515876708</v>
      </c>
      <c r="C35" s="166">
        <f>B35/2</f>
        <v>9.841734257938354</v>
      </c>
      <c r="D35" s="232"/>
      <c r="G35" s="15"/>
    </row>
    <row r="36" spans="1:7">
      <c r="A36" s="169" t="s">
        <v>77</v>
      </c>
      <c r="B36" s="166">
        <f>IF((B18*($B$26-($B$27-0.05*$B$27)-$B$60))&lt;0,0,B18*($B$26-($B$27-0.05*$B$27)-$B$60))</f>
        <v>1911.103427178708</v>
      </c>
      <c r="C36" s="166" t="s">
        <v>110</v>
      </c>
      <c r="D36" s="232"/>
      <c r="G36" s="15"/>
    </row>
    <row r="37" spans="1:7">
      <c r="A37" s="169" t="s">
        <v>78</v>
      </c>
      <c r="B37" s="166">
        <f>B60</f>
        <v>69</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245</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69</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17125.405862</v>
      </c>
      <c r="C5" s="17">
        <f>IF(ISERROR('Eigen informatie GS &amp; warmtenet'!B60),0,'Eigen informatie GS &amp; warmtenet'!B60)</f>
        <v>0</v>
      </c>
      <c r="D5" s="30">
        <f>SUM(D6:D12)</f>
        <v>18185.162250617999</v>
      </c>
      <c r="E5" s="17">
        <f>SUM(E6:E12)</f>
        <v>196.92299140874286</v>
      </c>
      <c r="F5" s="17">
        <f>SUM(F6:F12)</f>
        <v>2073.2460257066859</v>
      </c>
      <c r="G5" s="18"/>
      <c r="H5" s="17"/>
      <c r="I5" s="17"/>
      <c r="J5" s="17">
        <f>SUM(J6:J12)</f>
        <v>6.981045499930616E-2</v>
      </c>
      <c r="K5" s="17"/>
      <c r="L5" s="17"/>
      <c r="M5" s="17"/>
      <c r="N5" s="17">
        <f>SUM(N6:N12)</f>
        <v>2732.8722006153002</v>
      </c>
      <c r="O5" s="17">
        <f>B38*B39*B40</f>
        <v>4.8972607658411542</v>
      </c>
      <c r="P5" s="17">
        <f>B46*B47*B48/1000-B46*B47*B48/1000/B49</f>
        <v>157.61741491948504</v>
      </c>
      <c r="R5" s="32"/>
    </row>
    <row r="6" spans="1:18">
      <c r="A6" s="32" t="s">
        <v>53</v>
      </c>
      <c r="B6" s="37">
        <f>B26</f>
        <v>4809.4853279999998</v>
      </c>
      <c r="C6" s="33"/>
      <c r="D6" s="37">
        <f>IF(ISERROR(TER_kantoor_gas_kWh/1000),0,TER_kantoor_gas_kWh/1000)*0.902</f>
        <v>6926.0112845000003</v>
      </c>
      <c r="E6" s="33">
        <f>$C$26*'E Balans VL '!I12/100/3.6*1000000</f>
        <v>38.700386391934039</v>
      </c>
      <c r="F6" s="33">
        <f>$C$26*('E Balans VL '!L12+'E Balans VL '!N12)/100/3.6*1000000</f>
        <v>588.01017551384507</v>
      </c>
      <c r="G6" s="34"/>
      <c r="H6" s="33"/>
      <c r="I6" s="33"/>
      <c r="J6" s="33">
        <f>$C$26*('E Balans VL '!D12+'E Balans VL '!E12)/100/3.6*1000000</f>
        <v>0</v>
      </c>
      <c r="K6" s="33"/>
      <c r="L6" s="33"/>
      <c r="M6" s="33"/>
      <c r="N6" s="33">
        <f>$C$26*'E Balans VL '!Y12/100/3.6*1000000</f>
        <v>2.5848615222820177</v>
      </c>
      <c r="O6" s="33"/>
      <c r="P6" s="33"/>
      <c r="R6" s="32"/>
    </row>
    <row r="7" spans="1:18">
      <c r="A7" s="32" t="s">
        <v>52</v>
      </c>
      <c r="B7" s="37">
        <f t="shared" ref="B7:B12" si="0">B27</f>
        <v>1691.1135660000002</v>
      </c>
      <c r="C7" s="33"/>
      <c r="D7" s="37">
        <f>IF(ISERROR(TER_horeca_gas_kWh/1000),0,TER_horeca_gas_kWh/1000)*0.902</f>
        <v>1949.1052748860002</v>
      </c>
      <c r="E7" s="33">
        <f>$C$27*'E Balans VL '!I9/100/3.6*1000000</f>
        <v>18.158407049922321</v>
      </c>
      <c r="F7" s="33">
        <f>$C$27*('E Balans VL '!L9+'E Balans VL '!N9)/100/3.6*1000000</f>
        <v>203.39995469660809</v>
      </c>
      <c r="G7" s="34"/>
      <c r="H7" s="33"/>
      <c r="I7" s="33"/>
      <c r="J7" s="33">
        <f>$C$27*('E Balans VL '!D9+'E Balans VL '!E9)/100/3.6*1000000</f>
        <v>0</v>
      </c>
      <c r="K7" s="33"/>
      <c r="L7" s="33"/>
      <c r="M7" s="33"/>
      <c r="N7" s="33">
        <f>$C$27*'E Balans VL '!Y9/100/3.6*1000000</f>
        <v>0.25353219843611807</v>
      </c>
      <c r="O7" s="33"/>
      <c r="P7" s="33"/>
      <c r="R7" s="32"/>
    </row>
    <row r="8" spans="1:18">
      <c r="A8" s="6" t="s">
        <v>51</v>
      </c>
      <c r="B8" s="37">
        <f t="shared" si="0"/>
        <v>3768.0073090000001</v>
      </c>
      <c r="C8" s="33"/>
      <c r="D8" s="37">
        <f>IF(ISERROR(TER_handel_gas_kWh/1000),0,TER_handel_gas_kWh/1000)*0.902</f>
        <v>2831.5149389339999</v>
      </c>
      <c r="E8" s="33">
        <f>$C$28*'E Balans VL '!I13/100/3.6*1000000</f>
        <v>101.12178053108839</v>
      </c>
      <c r="F8" s="33">
        <f>$C$28*('E Balans VL '!L13+'E Balans VL '!N13)/100/3.6*1000000</f>
        <v>359.58403025832371</v>
      </c>
      <c r="G8" s="34"/>
      <c r="H8" s="33"/>
      <c r="I8" s="33"/>
      <c r="J8" s="33">
        <f>$C$28*('E Balans VL '!D13+'E Balans VL '!E13)/100/3.6*1000000</f>
        <v>0</v>
      </c>
      <c r="K8" s="33"/>
      <c r="L8" s="33"/>
      <c r="M8" s="33"/>
      <c r="N8" s="33">
        <f>$C$28*'E Balans VL '!Y13/100/3.6*1000000</f>
        <v>1.4936809409831975</v>
      </c>
      <c r="O8" s="33"/>
      <c r="P8" s="33"/>
      <c r="R8" s="32"/>
    </row>
    <row r="9" spans="1:18">
      <c r="A9" s="32" t="s">
        <v>50</v>
      </c>
      <c r="B9" s="37">
        <f t="shared" si="0"/>
        <v>696.42524000000003</v>
      </c>
      <c r="C9" s="33"/>
      <c r="D9" s="37">
        <f>IF(ISERROR(TER_gezond_gas_kWh/1000),0,TER_gezond_gas_kWh/1000)*0.902</f>
        <v>966.16102791999992</v>
      </c>
      <c r="E9" s="33">
        <f>$C$29*'E Balans VL '!I10/100/3.6*1000000</f>
        <v>1.3053276656651809</v>
      </c>
      <c r="F9" s="33">
        <f>$C$29*('E Balans VL '!L10+'E Balans VL '!N10)/100/3.6*1000000</f>
        <v>57.252509118688145</v>
      </c>
      <c r="G9" s="34"/>
      <c r="H9" s="33"/>
      <c r="I9" s="33"/>
      <c r="J9" s="33">
        <f>$C$29*('E Balans VL '!D10+'E Balans VL '!E10)/100/3.6*1000000</f>
        <v>0</v>
      </c>
      <c r="K9" s="33"/>
      <c r="L9" s="33"/>
      <c r="M9" s="33"/>
      <c r="N9" s="33">
        <f>$C$29*'E Balans VL '!Y10/100/3.6*1000000</f>
        <v>5.418707975089915</v>
      </c>
      <c r="O9" s="33"/>
      <c r="P9" s="33"/>
      <c r="R9" s="32"/>
    </row>
    <row r="10" spans="1:18">
      <c r="A10" s="32" t="s">
        <v>49</v>
      </c>
      <c r="B10" s="37">
        <f t="shared" si="0"/>
        <v>3873.3129859999999</v>
      </c>
      <c r="C10" s="33"/>
      <c r="D10" s="37">
        <f>IF(ISERROR(TER_ander_gas_kWh/1000),0,TER_ander_gas_kWh/1000)*0.902</f>
        <v>1717.6302951939999</v>
      </c>
      <c r="E10" s="33">
        <f>$C$30*'E Balans VL '!I14/100/3.6*1000000</f>
        <v>5.9707512155930598</v>
      </c>
      <c r="F10" s="33">
        <f>$C$30*('E Balans VL '!L14+'E Balans VL '!N14)/100/3.6*1000000</f>
        <v>601.33291036333787</v>
      </c>
      <c r="G10" s="34"/>
      <c r="H10" s="33"/>
      <c r="I10" s="33"/>
      <c r="J10" s="33">
        <f>$C$30*('E Balans VL '!D14+'E Balans VL '!E14)/100/3.6*1000000</f>
        <v>6.5753572829282542E-2</v>
      </c>
      <c r="K10" s="33"/>
      <c r="L10" s="33"/>
      <c r="M10" s="33"/>
      <c r="N10" s="33">
        <f>$C$30*'E Balans VL '!Y14/100/3.6*1000000</f>
        <v>2562.4597327882302</v>
      </c>
      <c r="O10" s="33"/>
      <c r="P10" s="33"/>
      <c r="R10" s="32"/>
    </row>
    <row r="11" spans="1:18">
      <c r="A11" s="32" t="s">
        <v>54</v>
      </c>
      <c r="B11" s="37">
        <f t="shared" si="0"/>
        <v>170.18474600000002</v>
      </c>
      <c r="C11" s="33"/>
      <c r="D11" s="37">
        <f>IF(ISERROR(TER_onderwijs_gas_kWh/1000),0,TER_onderwijs_gas_kWh/1000)*0.902</f>
        <v>497.15227951399999</v>
      </c>
      <c r="E11" s="33">
        <f>$C$31*'E Balans VL '!I11/100/3.6*1000000</f>
        <v>4.3408733944192761</v>
      </c>
      <c r="F11" s="33">
        <f>$C$31*('E Balans VL '!L11+'E Balans VL '!N11)/100/3.6*1000000</f>
        <v>20.466317546329552</v>
      </c>
      <c r="G11" s="34"/>
      <c r="H11" s="33"/>
      <c r="I11" s="33"/>
      <c r="J11" s="33">
        <f>$C$31*('E Balans VL '!D11+'E Balans VL '!E11)/100/3.6*1000000</f>
        <v>0</v>
      </c>
      <c r="K11" s="33"/>
      <c r="L11" s="33"/>
      <c r="M11" s="33"/>
      <c r="N11" s="33">
        <f>$C$31*'E Balans VL '!Y11/100/3.6*1000000</f>
        <v>0.37848672256041654</v>
      </c>
      <c r="O11" s="33"/>
      <c r="P11" s="33"/>
      <c r="R11" s="32"/>
    </row>
    <row r="12" spans="1:18">
      <c r="A12" s="32" t="s">
        <v>254</v>
      </c>
      <c r="B12" s="37">
        <f t="shared" si="0"/>
        <v>2116.8766869999999</v>
      </c>
      <c r="C12" s="33"/>
      <c r="D12" s="37">
        <f>IF(ISERROR(TER_rest_gas_kWh/1000),0,TER_rest_gas_kWh/1000)*0.902</f>
        <v>3297.5871496700001</v>
      </c>
      <c r="E12" s="33">
        <f>$C$32*'E Balans VL '!I8/100/3.6*1000000</f>
        <v>27.325465160120626</v>
      </c>
      <c r="F12" s="33">
        <f>$C$32*('E Balans VL '!L8+'E Balans VL '!N8)/100/3.6*1000000</f>
        <v>243.20012820955355</v>
      </c>
      <c r="G12" s="34"/>
      <c r="H12" s="33"/>
      <c r="I12" s="33"/>
      <c r="J12" s="33">
        <f>$C$32*('E Balans VL '!D8+'E Balans VL '!E8)/100/3.6*1000000</f>
        <v>4.0568821700236197E-3</v>
      </c>
      <c r="K12" s="33"/>
      <c r="L12" s="33"/>
      <c r="M12" s="33"/>
      <c r="N12" s="33">
        <f>$C$32*'E Balans VL '!Y8/100/3.6*1000000</f>
        <v>160.28319846771831</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17125.405862</v>
      </c>
      <c r="C16" s="21">
        <f t="shared" ca="1" si="1"/>
        <v>0</v>
      </c>
      <c r="D16" s="21">
        <f t="shared" ca="1" si="1"/>
        <v>18185.162250617999</v>
      </c>
      <c r="E16" s="21">
        <f t="shared" si="1"/>
        <v>196.92299140874286</v>
      </c>
      <c r="F16" s="21">
        <f t="shared" ca="1" si="1"/>
        <v>2073.2460257066859</v>
      </c>
      <c r="G16" s="21">
        <f t="shared" si="1"/>
        <v>0</v>
      </c>
      <c r="H16" s="21">
        <f t="shared" si="1"/>
        <v>0</v>
      </c>
      <c r="I16" s="21">
        <f t="shared" si="1"/>
        <v>0</v>
      </c>
      <c r="J16" s="21">
        <f t="shared" si="1"/>
        <v>6.981045499930616E-2</v>
      </c>
      <c r="K16" s="21">
        <f t="shared" si="1"/>
        <v>0</v>
      </c>
      <c r="L16" s="21">
        <f t="shared" ca="1" si="1"/>
        <v>0</v>
      </c>
      <c r="M16" s="21">
        <f t="shared" si="1"/>
        <v>0</v>
      </c>
      <c r="N16" s="21">
        <f t="shared" ca="1" si="1"/>
        <v>2732.8722006153002</v>
      </c>
      <c r="O16" s="21">
        <f>O5</f>
        <v>4.8972607658411542</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0.21021730411153206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3600.0566521254677</v>
      </c>
      <c r="C20" s="23">
        <f t="shared" ref="C20:P20" ca="1" si="2">C16*C18</f>
        <v>0</v>
      </c>
      <c r="D20" s="23">
        <f t="shared" ca="1" si="2"/>
        <v>3673.4027746248362</v>
      </c>
      <c r="E20" s="23">
        <f t="shared" si="2"/>
        <v>44.701519049784629</v>
      </c>
      <c r="F20" s="23">
        <f t="shared" ca="1" si="2"/>
        <v>553.55668886368517</v>
      </c>
      <c r="G20" s="23">
        <f t="shared" si="2"/>
        <v>0</v>
      </c>
      <c r="H20" s="23">
        <f t="shared" si="2"/>
        <v>0</v>
      </c>
      <c r="I20" s="23">
        <f t="shared" si="2"/>
        <v>0</v>
      </c>
      <c r="J20" s="23">
        <f t="shared" si="2"/>
        <v>2.4712901069754378E-2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4809.4853279999998</v>
      </c>
      <c r="C26" s="39">
        <f>IF(ISERROR(B26*3.6/1000000/'E Balans VL '!Z12*100),0,B26*3.6/1000000/'E Balans VL '!Z12*100)</f>
        <v>0.10202883105973296</v>
      </c>
      <c r="D26" s="235" t="s">
        <v>698</v>
      </c>
      <c r="F26" s="6"/>
    </row>
    <row r="27" spans="1:18">
      <c r="A27" s="229" t="s">
        <v>52</v>
      </c>
      <c r="B27" s="33">
        <f>IF(ISERROR(TER_horeca_ele_kWh/1000),0,TER_horeca_ele_kWh/1000)</f>
        <v>1691.1135660000002</v>
      </c>
      <c r="C27" s="39">
        <f>IF(ISERROR(B27*3.6/1000000/'E Balans VL '!Z9*100),0,B27*3.6/1000000/'E Balans VL '!Z9*100)</f>
        <v>0.12735583226041405</v>
      </c>
      <c r="D27" s="235" t="s">
        <v>698</v>
      </c>
      <c r="F27" s="6"/>
    </row>
    <row r="28" spans="1:18">
      <c r="A28" s="169" t="s">
        <v>51</v>
      </c>
      <c r="B28" s="33">
        <f>IF(ISERROR(TER_handel_ele_kWh/1000),0,TER_handel_ele_kWh/1000)</f>
        <v>3768.0073090000001</v>
      </c>
      <c r="C28" s="39">
        <f>IF(ISERROR(B28*3.6/1000000/'E Balans VL '!Z13*100),0,B28*3.6/1000000/'E Balans VL '!Z13*100)</f>
        <v>0.10937190108869799</v>
      </c>
      <c r="D28" s="235" t="s">
        <v>698</v>
      </c>
      <c r="F28" s="6"/>
    </row>
    <row r="29" spans="1:18">
      <c r="A29" s="229" t="s">
        <v>50</v>
      </c>
      <c r="B29" s="33">
        <f>IF(ISERROR(TER_gezond_ele_kWh/1000),0,TER_gezond_ele_kWh/1000)</f>
        <v>696.42524000000003</v>
      </c>
      <c r="C29" s="39">
        <f>IF(ISERROR(B29*3.6/1000000/'E Balans VL '!Z10*100),0,B29*3.6/1000000/'E Balans VL '!Z10*100)</f>
        <v>7.0235315974925092E-2</v>
      </c>
      <c r="D29" s="235" t="s">
        <v>698</v>
      </c>
      <c r="F29" s="6"/>
    </row>
    <row r="30" spans="1:18">
      <c r="A30" s="229" t="s">
        <v>49</v>
      </c>
      <c r="B30" s="33">
        <f>IF(ISERROR(TER_ander_ele_kWh/1000),0,TER_ander_ele_kWh/1000)</f>
        <v>3873.3129859999999</v>
      </c>
      <c r="C30" s="39">
        <f>IF(ISERROR(B30*3.6/1000000/'E Balans VL '!Z14*100),0,B30*3.6/1000000/'E Balans VL '!Z14*100)</f>
        <v>0.28106169881221932</v>
      </c>
      <c r="D30" s="235" t="s">
        <v>698</v>
      </c>
      <c r="F30" s="6"/>
    </row>
    <row r="31" spans="1:18">
      <c r="A31" s="229" t="s">
        <v>54</v>
      </c>
      <c r="B31" s="33">
        <f>IF(ISERROR(TER_onderwijs_ele_kWh/1000),0,TER_onderwijs_ele_kWh/1000)</f>
        <v>170.18474600000002</v>
      </c>
      <c r="C31" s="39">
        <f>IF(ISERROR(B31*3.6/1000000/'E Balans VL '!Z11*100),0,B31*3.6/1000000/'E Balans VL '!Z11*100)</f>
        <v>4.8509582855554498E-2</v>
      </c>
      <c r="D31" s="235" t="s">
        <v>698</v>
      </c>
    </row>
    <row r="32" spans="1:18">
      <c r="A32" s="229" t="s">
        <v>254</v>
      </c>
      <c r="B32" s="33">
        <f>IF(ISERROR(TER_rest_ele_kWh/1000),0,TER_rest_ele_kWh/1000)</f>
        <v>2116.8766869999999</v>
      </c>
      <c r="C32" s="39">
        <f>IF(ISERROR(B32*3.6/1000000/'E Balans VL '!Z8*100),0,B32*3.6/1000000/'E Balans VL '!Z8*100)</f>
        <v>1.7341022632310136E-2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3</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19639.662279999997</v>
      </c>
      <c r="C5" s="17">
        <f>IF(ISERROR('Eigen informatie GS &amp; warmtenet'!B61),0,'Eigen informatie GS &amp; warmtenet'!B61)</f>
        <v>0</v>
      </c>
      <c r="D5" s="30">
        <f>SUM(D6:D15)</f>
        <v>11487.419192392001</v>
      </c>
      <c r="E5" s="17">
        <f>SUM(E6:E15)</f>
        <v>1178.8389155383215</v>
      </c>
      <c r="F5" s="17">
        <f>SUM(F6:F15)</f>
        <v>4206.7948291591993</v>
      </c>
      <c r="G5" s="18"/>
      <c r="H5" s="17"/>
      <c r="I5" s="17"/>
      <c r="J5" s="17">
        <f>SUM(J6:J15)</f>
        <v>150.85406619978943</v>
      </c>
      <c r="K5" s="17"/>
      <c r="L5" s="17"/>
      <c r="M5" s="17"/>
      <c r="N5" s="17">
        <f>SUM(N6:N15)</f>
        <v>807.6628341494087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151.84312299999999</v>
      </c>
      <c r="C8" s="33"/>
      <c r="D8" s="37">
        <f>IF( ISERROR(IND_metaal_Gas_kWH/1000),0,IND_metaal_Gas_kWH/1000)*0.902</f>
        <v>43.803034946000004</v>
      </c>
      <c r="E8" s="33">
        <f>C30*'E Balans VL '!I18/100/3.6*1000000</f>
        <v>1.0954415589809692</v>
      </c>
      <c r="F8" s="33">
        <f>C30*'E Balans VL '!L18/100/3.6*1000000+C30*'E Balans VL '!N18/100/3.6*1000000</f>
        <v>14.361559644737838</v>
      </c>
      <c r="G8" s="34"/>
      <c r="H8" s="33"/>
      <c r="I8" s="33"/>
      <c r="J8" s="40">
        <f>C30*'E Balans VL '!D18/100/3.6*1000000+C30*'E Balans VL '!E18/100/3.6*1000000</f>
        <v>0.15272469550387047</v>
      </c>
      <c r="K8" s="33"/>
      <c r="L8" s="33"/>
      <c r="M8" s="33"/>
      <c r="N8" s="33">
        <f>C30*'E Balans VL '!Y18/100/3.6*1000000</f>
        <v>1.9196988119613656</v>
      </c>
      <c r="O8" s="33"/>
      <c r="P8" s="33"/>
      <c r="R8" s="32"/>
    </row>
    <row r="9" spans="1:18">
      <c r="A9" s="6" t="s">
        <v>32</v>
      </c>
      <c r="B9" s="37">
        <f t="shared" si="0"/>
        <v>1138.2487979999999</v>
      </c>
      <c r="C9" s="33"/>
      <c r="D9" s="37">
        <f>IF( ISERROR(IND_andere_gas_kWh/1000),0,IND_andere_gas_kWh/1000)*0.902</f>
        <v>1180.8063923919999</v>
      </c>
      <c r="E9" s="33">
        <f>C31*'E Balans VL '!I19/100/3.6*1000000</f>
        <v>315.42396221906148</v>
      </c>
      <c r="F9" s="33">
        <f>C31*'E Balans VL '!L19/100/3.6*1000000+C31*'E Balans VL '!N19/100/3.6*1000000</f>
        <v>943.38306355700968</v>
      </c>
      <c r="G9" s="34"/>
      <c r="H9" s="33"/>
      <c r="I9" s="33"/>
      <c r="J9" s="40">
        <f>C31*'E Balans VL '!D19/100/3.6*1000000+C31*'E Balans VL '!E19/100/3.6*1000000</f>
        <v>0</v>
      </c>
      <c r="K9" s="33"/>
      <c r="L9" s="33"/>
      <c r="M9" s="33"/>
      <c r="N9" s="33">
        <f>C31*'E Balans VL '!Y19/100/3.6*1000000</f>
        <v>82.622940444797493</v>
      </c>
      <c r="O9" s="33"/>
      <c r="P9" s="33"/>
      <c r="R9" s="32"/>
    </row>
    <row r="10" spans="1:18">
      <c r="A10" s="6" t="s">
        <v>40</v>
      </c>
      <c r="B10" s="37">
        <f t="shared" si="0"/>
        <v>107.535889</v>
      </c>
      <c r="C10" s="33"/>
      <c r="D10" s="37">
        <f>IF( ISERROR(IND_voed_gas_kWh/1000),0,IND_voed_gas_kWh/1000)*0.902</f>
        <v>81.07983019400001</v>
      </c>
      <c r="E10" s="33">
        <f>C32*'E Balans VL '!I20/100/3.6*1000000</f>
        <v>0.19037494827089868</v>
      </c>
      <c r="F10" s="33">
        <f>C32*'E Balans VL '!L20/100/3.6*1000000+C32*'E Balans VL '!N20/100/3.6*1000000</f>
        <v>5.8078910880349195</v>
      </c>
      <c r="G10" s="34"/>
      <c r="H10" s="33"/>
      <c r="I10" s="33"/>
      <c r="J10" s="40">
        <f>C32*'E Balans VL '!D20/100/3.6*1000000+C32*'E Balans VL '!E20/100/3.6*1000000</f>
        <v>0</v>
      </c>
      <c r="K10" s="33"/>
      <c r="L10" s="33"/>
      <c r="M10" s="33"/>
      <c r="N10" s="33">
        <f>C32*'E Balans VL '!Y20/100/3.6*1000000</f>
        <v>6.2486564127179438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18242.034469999999</v>
      </c>
      <c r="C15" s="33"/>
      <c r="D15" s="37">
        <f>IF( ISERROR(IND_rest_gas_kWh/1000),0,IND_rest_gas_kWh/1000)*0.902</f>
        <v>10181.729934860001</v>
      </c>
      <c r="E15" s="33">
        <f>C37*'E Balans VL '!I15/100/3.6*1000000</f>
        <v>862.12913681200826</v>
      </c>
      <c r="F15" s="33">
        <f>C37*'E Balans VL '!L15/100/3.6*1000000+C37*'E Balans VL '!N15/100/3.6*1000000</f>
        <v>3243.2423148694165</v>
      </c>
      <c r="G15" s="34"/>
      <c r="H15" s="33"/>
      <c r="I15" s="33"/>
      <c r="J15" s="40">
        <f>C37*'E Balans VL '!D15/100/3.6*1000000+C37*'E Balans VL '!E15/100/3.6*1000000</f>
        <v>150.70134150428555</v>
      </c>
      <c r="K15" s="33"/>
      <c r="L15" s="33"/>
      <c r="M15" s="33"/>
      <c r="N15" s="33">
        <f>C37*'E Balans VL '!Y15/100/3.6*1000000</f>
        <v>716.87153847993193</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19639.662279999997</v>
      </c>
      <c r="C18" s="21">
        <f>C5+C16</f>
        <v>0</v>
      </c>
      <c r="D18" s="21">
        <f>MAX((D5+D16),0)</f>
        <v>11487.419192392001</v>
      </c>
      <c r="E18" s="21">
        <f>MAX((E5+E16),0)</f>
        <v>1178.8389155383215</v>
      </c>
      <c r="F18" s="21">
        <f>MAX((F5+F16),0)</f>
        <v>4206.7948291591993</v>
      </c>
      <c r="G18" s="21"/>
      <c r="H18" s="21"/>
      <c r="I18" s="21"/>
      <c r="J18" s="21">
        <f>MAX((J5+J16),0)</f>
        <v>150.85406619978943</v>
      </c>
      <c r="K18" s="21"/>
      <c r="L18" s="21">
        <f>MAX((L5+L16),0)</f>
        <v>0</v>
      </c>
      <c r="M18" s="21"/>
      <c r="N18" s="21">
        <f>MAX((N5+N16),0)</f>
        <v>807.6628341494087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0.21021730411153206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4128.5968581625448</v>
      </c>
      <c r="C22" s="23">
        <f ca="1">C18*C20</f>
        <v>0</v>
      </c>
      <c r="D22" s="23">
        <f>D18*D20</f>
        <v>2320.4586768631843</v>
      </c>
      <c r="E22" s="23">
        <f>E18*E20</f>
        <v>267.59643382719901</v>
      </c>
      <c r="F22" s="23">
        <f>F18*F20</f>
        <v>1123.2142193855063</v>
      </c>
      <c r="G22" s="23"/>
      <c r="H22" s="23"/>
      <c r="I22" s="23"/>
      <c r="J22" s="23">
        <f>J18*J20</f>
        <v>53.402339434725455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151.84312299999999</v>
      </c>
      <c r="C30" s="39">
        <f>IF(ISERROR(B30*3.6/1000000/'E Balans VL '!Z18*100),0,B30*3.6/1000000/'E Balans VL '!Z18*100)</f>
        <v>8.7656665627271549E-3</v>
      </c>
      <c r="D30" s="235" t="s">
        <v>698</v>
      </c>
    </row>
    <row r="31" spans="1:18">
      <c r="A31" s="6" t="s">
        <v>32</v>
      </c>
      <c r="B31" s="37">
        <f>IF( ISERROR(IND_ander_ele_kWh/1000),0,IND_ander_ele_kWh/1000)</f>
        <v>1138.2487979999999</v>
      </c>
      <c r="C31" s="39">
        <f>IF(ISERROR(B31*3.6/1000000/'E Balans VL '!Z19*100),0,B31*3.6/1000000/'E Balans VL '!Z19*100)</f>
        <v>5.7250225048781953E-2</v>
      </c>
      <c r="D31" s="235" t="s">
        <v>698</v>
      </c>
    </row>
    <row r="32" spans="1:18">
      <c r="A32" s="169" t="s">
        <v>40</v>
      </c>
      <c r="B32" s="37">
        <f>IF( ISERROR(IND_voed_ele_kWh/1000),0,IND_voed_ele_kWh/1000)</f>
        <v>107.535889</v>
      </c>
      <c r="C32" s="39">
        <f>IF(ISERROR(B32*3.6/1000000/'E Balans VL '!Z20*100),0,B32*3.6/1000000/'E Balans VL '!Z20*100)</f>
        <v>3.5815836784869621E-3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18242.034469999999</v>
      </c>
      <c r="C37" s="39">
        <f>IF(ISERROR(B37*3.6/1000000/'E Balans VL '!Z15*100),0,B37*3.6/1000000/'E Balans VL '!Z15*100)</f>
        <v>0.14233775410248745</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1780.3706729999999</v>
      </c>
      <c r="C5" s="17">
        <f>'Eigen informatie GS &amp; warmtenet'!B62</f>
        <v>0</v>
      </c>
      <c r="D5" s="30">
        <f>IF(ISERROR(SUM(LB_lb_gas_kWh,LB_rest_gas_kWh)/1000),0,SUM(LB_lb_gas_kWh,LB_rest_gas_kWh)/1000)*0.902</f>
        <v>8295.3175521039993</v>
      </c>
      <c r="E5" s="17">
        <f>B17*'E Balans VL '!I25/3.6*1000000/100</f>
        <v>55.564781610510565</v>
      </c>
      <c r="F5" s="17">
        <f>B17*('E Balans VL '!L25/3.6*1000000+'E Balans VL '!N25/3.6*1000000)/100</f>
        <v>6292.0271825248365</v>
      </c>
      <c r="G5" s="18"/>
      <c r="H5" s="17"/>
      <c r="I5" s="17"/>
      <c r="J5" s="17">
        <f>('E Balans VL '!D25+'E Balans VL '!E25)/3.6*1000000*landbouw!B17/100</f>
        <v>490.50446717391094</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1780.3706729999999</v>
      </c>
      <c r="C8" s="21">
        <f>C5+C6</f>
        <v>0</v>
      </c>
      <c r="D8" s="21">
        <f>MAX((D5+D6),0)</f>
        <v>8295.3175521039993</v>
      </c>
      <c r="E8" s="21">
        <f>MAX((E5+E6),0)</f>
        <v>55.564781610510565</v>
      </c>
      <c r="F8" s="21">
        <f>MAX((F5+F6),0)</f>
        <v>6292.0271825248365</v>
      </c>
      <c r="G8" s="21"/>
      <c r="H8" s="21"/>
      <c r="I8" s="21"/>
      <c r="J8" s="21">
        <f>MAX((J5+J6),0)</f>
        <v>490.50446717391094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0.21021730411153206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374.26472319729396</v>
      </c>
      <c r="C12" s="23">
        <f ca="1">C8*C10</f>
        <v>0</v>
      </c>
      <c r="D12" s="23">
        <f>D8*D10</f>
        <v>1675.6541455250081</v>
      </c>
      <c r="E12" s="23">
        <f>E8*E10</f>
        <v>12.613205425585898</v>
      </c>
      <c r="F12" s="23">
        <f>F8*F10</f>
        <v>1679.9712577341315</v>
      </c>
      <c r="G12" s="23"/>
      <c r="H12" s="23"/>
      <c r="I12" s="23"/>
      <c r="J12" s="23">
        <f>J8*J10</f>
        <v>173.63858137956447</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0.26466486344736428</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43.286194260404343</v>
      </c>
      <c r="C26" s="245">
        <f>B26*'GWP N2O_CH4'!B5</f>
        <v>909.0100794684912</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14.407154393979566</v>
      </c>
      <c r="C27" s="245">
        <f>B27*'GWP N2O_CH4'!B5</f>
        <v>302.55024227357086</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0.57959282239471022</v>
      </c>
      <c r="C28" s="245">
        <f>B28*'GWP N2O_CH4'!B4</f>
        <v>179.67377494236015</v>
      </c>
      <c r="D28" s="50"/>
    </row>
    <row r="29" spans="1:4">
      <c r="A29" s="41" t="s">
        <v>271</v>
      </c>
      <c r="B29" s="245">
        <f>B34*'ha_N2O bodem landbouw'!B4</f>
        <v>5.5053304899530087</v>
      </c>
      <c r="C29" s="245">
        <f>B29*'GWP N2O_CH4'!B4</f>
        <v>1706.6524518854326</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1.2072198551999463E-3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1.1254783994995099E-3</v>
      </c>
      <c r="C5" s="433" t="s">
        <v>210</v>
      </c>
      <c r="D5" s="418">
        <f>SUM(D6:D11)</f>
        <v>1.6355404428586391E-3</v>
      </c>
      <c r="E5" s="418">
        <f>SUM(E6:E11)</f>
        <v>1.66193661671902E-3</v>
      </c>
      <c r="F5" s="431" t="s">
        <v>210</v>
      </c>
      <c r="G5" s="418">
        <f>SUM(G6:G11)</f>
        <v>0.89423262264112791</v>
      </c>
      <c r="H5" s="418">
        <f>SUM(H6:H11)</f>
        <v>0.15066265067710241</v>
      </c>
      <c r="I5" s="433" t="s">
        <v>210</v>
      </c>
      <c r="J5" s="433" t="s">
        <v>210</v>
      </c>
      <c r="K5" s="433" t="s">
        <v>210</v>
      </c>
      <c r="L5" s="433" t="s">
        <v>210</v>
      </c>
      <c r="M5" s="418">
        <f>SUM(M6:M11)</f>
        <v>6.1520511250741539E-2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9.9052335138846443E-5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1.6720997312323713E-4</v>
      </c>
      <c r="E6" s="884">
        <f>vkm_GW_PW*SUMIFS(TableVerdeelsleutelVkm[LPG],TableVerdeelsleutelVkm[Voertuigtype],"Lichte voertuigen")*SUMIFS(TableECFTransport[EnergieConsumptieFactor (PJ per km)],TableECFTransport[Index],CONCATENATE($A6,"_LPG_LPG"))</f>
        <v>1.4652148953468356E-4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4.5770467631941196E-2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1.4915157934420257E-2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3.6258352615680407E-3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8.8867305280398063E-7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3.3918165311389574E-2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4.7147337108938598E-7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1.955123770721164E-3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1.0201131373175747E-4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2.1988413519524215E-4</v>
      </c>
      <c r="E8" s="421">
        <f>vkm_NGW_PW*SUMIFS(TableVerdeelsleutelVkm[LPG],TableVerdeelsleutelVkm[Voertuigtype],"Lichte voertuigen")*SUMIFS(TableECFTransport[EnergieConsumptieFactor (PJ per km)],TableECFTransport[Index],CONCATENATE($A8,"_LPG_LPG"))</f>
        <v>1.8457335831339536E-4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5.3270102758789697E-2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1.932937197432745E-2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4.3503980112633628E-3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2.9279725262497994E-7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1.4366650711200468E-2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1.8749884682180402E-7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8.2812713039659023E-4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9.1306590454885966E-4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1.2484463345401597E-3</v>
      </c>
      <c r="E10" s="421">
        <f>vkm_SW_PW*SUMIFS(TableVerdeelsleutelVkm[LPG],TableVerdeelsleutelVkm[Voertuigtype],"Lichte voertuigen")*SUMIFS(TableECFTransport[EnergieConsumptieFactor (PJ per km)],TableECFTransport[Index],CONCATENATE($A10,"_LPG_LPG"))</f>
        <v>1.330841768870941E-3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0.37885028776485685</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0.11641190973203458</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2.9545319759751869E-2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1.0167375774617358E-5</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0.36805694846295017</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5.5520641022157734E-6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2.1215707317040516E-2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312.63288874986387</v>
      </c>
      <c r="C14" s="21"/>
      <c r="D14" s="21">
        <f t="shared" ref="D14:M14" si="0">((D5)*10^9/3600)+D12</f>
        <v>454.31678968295535</v>
      </c>
      <c r="E14" s="21">
        <f t="shared" si="0"/>
        <v>461.64906019972778</v>
      </c>
      <c r="F14" s="21"/>
      <c r="G14" s="21">
        <f t="shared" si="0"/>
        <v>248397.95073364666</v>
      </c>
      <c r="H14" s="21">
        <f t="shared" si="0"/>
        <v>41850.736299195116</v>
      </c>
      <c r="I14" s="21"/>
      <c r="J14" s="21"/>
      <c r="K14" s="21"/>
      <c r="L14" s="21"/>
      <c r="M14" s="21">
        <f t="shared" si="0"/>
        <v>17089.030902983763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0.21021730411153206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65.720843049596894</v>
      </c>
      <c r="C18" s="23"/>
      <c r="D18" s="23">
        <f t="shared" ref="D18:M18" si="1">D14*D16</f>
        <v>91.771991515956984</v>
      </c>
      <c r="E18" s="23">
        <f t="shared" si="1"/>
        <v>104.79433666533821</v>
      </c>
      <c r="F18" s="23"/>
      <c r="G18" s="23">
        <f t="shared" si="1"/>
        <v>66322.25284588366</v>
      </c>
      <c r="H18" s="23">
        <f t="shared" si="1"/>
        <v>10420.833338499584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5.9981647149369602E-5</v>
      </c>
      <c r="C50" s="315">
        <f t="shared" ref="C50:P50" si="2">SUM(C51:C52)</f>
        <v>0</v>
      </c>
      <c r="D50" s="315">
        <f t="shared" si="2"/>
        <v>0</v>
      </c>
      <c r="E50" s="315">
        <f t="shared" si="2"/>
        <v>0</v>
      </c>
      <c r="F50" s="315">
        <f t="shared" si="2"/>
        <v>0</v>
      </c>
      <c r="G50" s="315">
        <f t="shared" si="2"/>
        <v>4.3457606759660242E-3</v>
      </c>
      <c r="H50" s="315">
        <f t="shared" si="2"/>
        <v>0</v>
      </c>
      <c r="I50" s="315">
        <f t="shared" si="2"/>
        <v>0</v>
      </c>
      <c r="J50" s="315">
        <f t="shared" si="2"/>
        <v>0</v>
      </c>
      <c r="K50" s="315">
        <f t="shared" si="2"/>
        <v>0</v>
      </c>
      <c r="L50" s="315">
        <f t="shared" si="2"/>
        <v>0</v>
      </c>
      <c r="M50" s="315">
        <f t="shared" si="2"/>
        <v>2.4580916551248262E-4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5.9981647149369602E-5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4.3457606759660242E-3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2.4580916551248262E-4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16.661568652602668</v>
      </c>
      <c r="C54" s="21">
        <f t="shared" ref="C54:P54" si="3">(C50)*10^9/3600</f>
        <v>0</v>
      </c>
      <c r="D54" s="21">
        <f t="shared" si="3"/>
        <v>0</v>
      </c>
      <c r="E54" s="21">
        <f t="shared" si="3"/>
        <v>0</v>
      </c>
      <c r="F54" s="21">
        <f t="shared" si="3"/>
        <v>0</v>
      </c>
      <c r="G54" s="21">
        <f t="shared" si="3"/>
        <v>1207.1557433238956</v>
      </c>
      <c r="H54" s="21">
        <f t="shared" si="3"/>
        <v>0</v>
      </c>
      <c r="I54" s="21">
        <f t="shared" si="3"/>
        <v>0</v>
      </c>
      <c r="J54" s="21">
        <f t="shared" si="3"/>
        <v>0</v>
      </c>
      <c r="K54" s="21">
        <f t="shared" si="3"/>
        <v>0</v>
      </c>
      <c r="L54" s="21">
        <f t="shared" si="3"/>
        <v>0</v>
      </c>
      <c r="M54" s="21">
        <f t="shared" si="3"/>
        <v>68.280323753467385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0.21021730411153206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3.5025500444193445</v>
      </c>
      <c r="C58" s="23">
        <f t="shared" ref="C58:P58" ca="1" si="4">C54*C56</f>
        <v>0</v>
      </c>
      <c r="D58" s="23">
        <f t="shared" si="4"/>
        <v>0</v>
      </c>
      <c r="E58" s="23">
        <f t="shared" si="4"/>
        <v>0</v>
      </c>
      <c r="F58" s="23">
        <f t="shared" si="4"/>
        <v>0</v>
      </c>
      <c r="G58" s="23">
        <f t="shared" si="4"/>
        <v>322.31058346748017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3734.2145110203828</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3734.2145110203828</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2021-06-29T15:31:04Z</dcterms:modified>
</cp:coreProperties>
</file>