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B76" i="14"/>
  <c r="B8" i="59" s="1"/>
  <c r="B10" i="59" s="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<sst xmlns="http://schemas.openxmlformats.org/spreadsheetml/2006/main" count="2484" uniqueCount="906">
  <si>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</si>
  <si>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</si>
  <si>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</si>
  <si>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</si>
  <si>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</si>
  <si>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</si>
  <si>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</si>
  <si>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</si>
  <si>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</si>
  <si>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</si>
  <si>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</si>
  <si>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</si>
  <si>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</si>
  <si>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</si>
  <si>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</si>
  <si>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</si>
  <si>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</si>
  <si>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</si>
  <si>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</si>
  <si>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</si>
  <si>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</si>
  <si>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</si>
  <si>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</si>
  <si>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</si>
  <si>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</si>
  <si>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</si>
  <si>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</si>
  <si>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</si>
  <si>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</si>
  <si>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</si>
  <si>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</si>
  <si>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</si>
  <si>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</si>
  <si>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</si>
  <si>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</si>
  <si>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</si>
  <si>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</si>
  <si>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</si>
  <si>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</si>
  <si>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</si>
  <si>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</si>
  <si>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</si>
  <si>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</si>
  <si>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</si>
  <si>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</si>
  <si>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</si>
  <si>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</si>
  <si>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</si>
  <si>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</si>
  <si>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</si>
  <si>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</si>
  <si>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</si>
  <si>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</si>
  <si>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</si>
  <si>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</si>
  <si>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</si>
  <si>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</si>
  <si>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</si>
  <si>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</si>
  <si>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</si>
  <si>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</si>
  <si>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</si>
  <si>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</si>
  <si>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</si>
  <si>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</si>
  <si>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</si>
  <si>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</si>
  <si>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</si>
  <si>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</si>
  <si>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</si>
  <si>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</si>
  <si>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</si>
  <si>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</si>
  <si>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</si>
  <si>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</si>
  <si>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</si>
  <si>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</si>
  <si>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</si>
  <si>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</si>
  <si>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</si>
  <si>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</si>
  <si>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</si>
  <si>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</si>
  <si>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</si>
  <si>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</si>
  <si>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</si>
  <si>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</si>
  <si>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</si>
  <si>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</si>
  <si>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</si>
  <si>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</si>
  <si>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</si>
  <si>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</si>
  <si>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</si>
  <si>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</si>
  <si>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</si>
  <si>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</si>
  <si>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</si>
  <si>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</si>
  <si>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</si>
  <si>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</si>
  <si>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</si>
  <si>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</si>
  <si>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</si>
  <si>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</si>
  <si>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</si>
  <si>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</si>
  <si>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</si>
  <si>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</si>
  <si>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</si>
  <si>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</si>
  <si>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</si>
  <si>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</si>
  <si>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</si>
  <si>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</si>
  <si>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</si>
  <si>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</si>
  <si>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</si>
  <si>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</si>
  <si>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</si>
  <si>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</si>
  <si>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</si>
  <si>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</si>
  <si>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</si>
  <si>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</si>
  <si>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</si>
  <si>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</si>
  <si>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</si>
  <si>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</si>
  <si>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</si>
  <si>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</si>
  <si>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</si>
  <si>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</si>
  <si>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</si>
  <si>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</si>
  <si>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</si>
  <si>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</si>
  <si>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</si>
  <si>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</si>
  <si>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</si>
  <si>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</si>
  <si>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</si>
  <si>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</si>
  <si>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</si>
  <si>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</si>
  <si>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</si>
  <si>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</si>
  <si>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</si>
  <si>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</si>
  <si>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</si>
  <si>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</si>
  <si>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</si>
  <si>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</si>
  <si>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</si>
  <si>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</si>
  <si>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</si>
  <si>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</si>
  <si>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</si>
  <si>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</si>
  <si>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</si>
  <si>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</si>
  <si>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</si>
  <si>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</si>
  <si>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</si>
  <si>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</si>
  <si>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</si>
  <si>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</si>
  <si>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</si>
  <si>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</si>
  <si>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</si>
  <si>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</si>
  <si>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</si>
  <si>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</si>
  <si>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</si>
  <si>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</si>
  <si>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</si>
  <si>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</si>
  <si>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</si>
  <si>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</si>
  <si>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</si>
  <si>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</si>
  <si>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</si>
  <si>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</si>
  <si>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</si>
  <si>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</si>
  <si>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</si>
  <si>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</si>
  <si>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</si>
  <si>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</si>
  <si>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</si>
  <si>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</si>
  <si>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</si>
  <si>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</si>
  <si>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</si>
  <si>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</si>
  <si>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</si>
  <si>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</si>
  <si>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</si>
  <si>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</si>
  <si>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</si>
  <si>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</si>
  <si>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</si>
  <si>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</si>
  <si>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</si>
  <si>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</si>
  <si>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</si>
  <si>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</si>
  <si>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</si>
  <si>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</si>
  <si>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</si>
  <si>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</si>
  <si>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</si>
  <si>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</si>
  <si>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</si>
  <si>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</si>
  <si>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</si>
  <si>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</si>
  <si>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</si>
  <si>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</si>
  <si>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</si>
  <si>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</si>
  <si>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</si>
  <si>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</si>
  <si>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</si>
  <si>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</si>
  <si>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</si>
  <si>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</si>
  <si>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</si>
  <si>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</si>
  <si>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</si>
  <si>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</si>
  <si>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</si>
  <si>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</si>
  <si>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</si>
  <si>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</si>
  <si>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</si>
  <si>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</si>
  <si>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</si>
  <si>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</si>
  <si>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</si>
  <si>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</si>
  <si>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</si>
  <si>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</si>
  <si>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</si>
  <si>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</si>
  <si>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</si>
  <si>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</si>
  <si>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</si>
  <si>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</si>
  <si>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</si>
  <si>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</si>
  <si>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</si>
  <si>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</si>
  <si>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</si>
  <si>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</si>
  <si>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</si>
  <si>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</si>
  <si>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</si>
  <si>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</si>
  <si>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</si>
  <si>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</si>
  <si>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</si>
  <si>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</si>
  <si>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</si>
  <si>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</si>
  <si>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</si>
  <si>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</si>
  <si>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</si>
  <si>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</si>
  <si>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</si>
  <si>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</si>
  <si>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</si>
  <si>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</si>
  <si>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</si>
  <si>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</si>
  <si>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</si>
  <si>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</si>
  <si>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</si>
  <si>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</si>
  <si>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</si>
  <si>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</si>
  <si>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</si>
  <si>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</si>
  <si>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</si>
  <si>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</si>
  <si>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</si>
  <si>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</si>
  <si>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</si>
  <si>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</si>
  <si>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</si>
  <si>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</si>
  <si>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</si>
  <si>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</si>
  <si>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</si>
  <si>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</si>
  <si>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</si>
  <si>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</si>
  <si>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</si>
  <si>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</si>
  <si>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</si>
  <si>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</si>
  <si>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</si>
  <si>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</si>
  <si>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</si>
  <si>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</si>
  <si>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</si>
  <si>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</si>
  <si>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</si>
  <si>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</si>
  <si>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</si>
  <si>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</si>
  <si>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</si>
  <si>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</si>
  <si>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</si>
  <si>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</si>
  <si>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</si>
  <si>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</si>
  <si>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</si>
  <si>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</si>
  <si>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</si>
  <si>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</si>
  <si>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</si>
  <si>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</si>
  <si>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</si>
  <si>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</si>
  <si>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</si>
  <si>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</si>
  <si>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</si>
  <si>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</si>
  <si>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</si>
  <si>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</si>
  <si>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</si>
  <si>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</si>
  <si>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</si>
  <si>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</si>
  <si>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</si>
  <si>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</si>
  <si>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</si>
  <si>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</si>
  <si>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</si>
  <si>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</si>
  <si>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</si>
  <si>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</si>
  <si>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</si>
  <si>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</si>
  <si>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</si>
  <si>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</si>
  <si>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</si>
  <si>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</si>
  <si>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</si>
  <si>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</si>
  <si>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</si>
  <si>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</si>
  <si>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</si>
  <si>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</si>
  <si>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</si>
  <si>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</si>
  <si>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</si>
  <si>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</si>
  <si>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</si>
  <si>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</si>
  <si>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</si>
  <si>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</si>
  <si>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</si>
  <si>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</si>
  <si>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</si>
  <si>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</si>
  <si>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</si>
  <si>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</si>
  <si>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</si>
  <si>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</si>
  <si>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</si>
  <si>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</si>
  <si>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</si>
  <si>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</si>
  <si>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</si>
  <si>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</si>
  <si>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</si>
  <si>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</si>
  <si>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</si>
  <si>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</si>
  <si>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</si>
  <si>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</si>
  <si>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</si>
  <si>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</si>
  <si>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</si>
  <si>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</si>
  <si>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</si>
  <si>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</si>
  <si>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</si>
  <si>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</si>
  <si>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</si>
  <si>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</si>
  <si>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</si>
  <si>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</si>
  <si>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</si>
  <si>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</si>
  <si>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</si>
  <si>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</si>
  <si>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</si>
  <si>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</si>
  <si>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</si>
  <si>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</si>
  <si>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</si>
  <si>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</si>
  <si>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</si>
  <si>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</si>
  <si>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</si>
  <si>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</si>
  <si>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</si>
  <si>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</si>
  <si>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</si>
  <si>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</si>
  <si>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</si>
  <si>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</si>
  <si>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</si>
  <si>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</si>
  <si>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</si>
  <si>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</si>
  <si>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</si>
  <si>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</si>
  <si>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</si>
  <si>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</si>
  <si>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</si>
  <si>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</si>
  <si>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</si>
  <si>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</si>
  <si>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</si>
  <si>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</si>
  <si>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</si>
  <si>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</si>
  <si>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</si>
  <si>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</si>
  <si>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</si>
  <si>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</si>
  <si>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</si>
  <si>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</si>
  <si>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</si>
  <si>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</si>
  <si>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</si>
  <si>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</si>
  <si>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</si>
  <si>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</si>
  <si>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</si>
  <si>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</si>
  <si>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</si>
  <si>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</si>
  <si>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</si>
  <si>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</si>
  <si>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</si>
  <si>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</si>
  <si>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</si>
  <si>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</si>
  <si>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</si>
  <si>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</si>
  <si>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</si>
  <si>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</si>
  <si>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</si>
  <si>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</si>
  <si>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</si>
  <si>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</si>
  <si>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</si>
  <si>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</si>
  <si>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</si>
  <si>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</si>
  <si>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</si>
  <si>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</si>
  <si>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</si>
  <si>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</si>
  <si>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</si>
  <si>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</si>
  <si>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</si>
  <si>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</si>
  <si>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</si>
  <si>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</si>
  <si>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</si>
  <si>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</si>
  <si>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</si>
  <si>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</si>
  <si>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</si>
  <si>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</si>
  <si>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</si>
  <si>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</si>
  <si>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</si>
  <si>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</si>
  <si>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</si>
  <si>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</si>
  <si>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</si>
  <si>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</si>
  <si>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</si>
  <si>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</si>
  <si>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</si>
  <si>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</si>
  <si>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</si>
  <si>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</si>
  <si>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</si>
  <si>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</si>
  <si>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</si>
  <si>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</si>
  <si>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</si>
  <si>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</si>
  <si>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</si>
  <si>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</si>
  <si>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</si>
  <si>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</si>
  <si>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</si>
  <si>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</si>
  <si>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</si>
  <si>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</si>
  <si>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</si>
  <si>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</si>
  <si>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</si>
  <si>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</si>
  <si>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</si>
  <si>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</si>
  <si>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</si>
  <si>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</si>
  <si>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</si>
  <si>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</si>
  <si>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</si>
  <si>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</si>
  <si>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</si>
  <si>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</si>
  <si>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</si>
  <si>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</si>
  <si>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</si>
  <si>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</si>
  <si>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</si>
  <si>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</si>
  <si>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</si>
  <si>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</si>
  <si>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</si>
  <si>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</si>
  <si>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</si>
  <si>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</si>
  <si>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</si>
  <si>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</si>
  <si>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</si>
  <si>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</si>
  <si>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</si>
  <si>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</si>
  <si>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</si>
  <si>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</si>
  <si>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</si>
  <si>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</si>
  <si>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</si>
  <si>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</si>
  <si>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</si>
  <si>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</si>
  <si>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</si>
  <si>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</si>
  <si>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</si>
  <si>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</si>
  <si>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</si>
  <si>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</si>
  <si>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</si>
  <si>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</si>
  <si>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</si>
  <si>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</si>
  <si>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</si>
  <si>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</si>
  <si>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</si>
  <si>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</si>
  <si>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</si>
  <si>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</si>
  <si>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</si>
  <si>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</si>
  <si>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</si>
  <si>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</si>
  <si>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</si>
  <si>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</si>
  <si>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</si>
  <si>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</si>
  <si>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</si>
  <si>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</si>
  <si>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</si>
  <si>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</si>
  <si>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</si>
  <si>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</si>
  <si>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</si>
  <si>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</si>
  <si>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</si>
  <si>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</si>
  <si>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</si>
  <si>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</si>
  <si>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</si>
  <si>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</si>
  <si>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</si>
  <si>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</si>
  <si>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</si>
  <si>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</si>
  <si>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</si>
  <si>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</si>
  <si>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</si>
  <si>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</si>
  <si>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</si>
  <si>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</si>
  <si>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</si>
  <si>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</si>
  <si>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</si>
  <si>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</si>
  <si>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</si>
  <si>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</si>
  <si>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</si>
  <si>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</si>
  <si>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</si>
  <si>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</si>
  <si>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</si>
  <si>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</si>
  <si>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</si>
  <si>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</si>
  <si>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</si>
  <si>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</si>
  <si>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</si>
  <si>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</si>
  <si>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</si>
  <si>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</si>
  <si>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</si>
  <si>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</si>
  <si>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</si>
  <si>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</si>
  <si>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</si>
  <si>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</si>
  <si>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</si>
  <si>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</si>
  <si>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</si>
  <si>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</si>
  <si>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</si>
  <si>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</si>
  <si>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</si>
  <si>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</si>
  <si>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</si>
  <si>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</si>
  <si>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</si>
  <si>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</si>
  <si>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</si>
  <si>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</si>
  <si>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</si>
  <si>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</si>
  <si>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</si>
  <si>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</si>
  <si>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</si>
  <si>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</si>
  <si>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</si>
  <si>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</si>
  <si>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</si>
  <si>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</si>
  <si>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</si>
  <si>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</si>
  <si>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</si>
  <si>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</si>
  <si>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</si>
  <si>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</si>
  <si>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</si>
  <si>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</si>
  <si>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</si>
  <si>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</si>
  <si>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</si>
  <si>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</si>
  <si>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</si>
  <si>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</si>
  <si>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</si>
  <si>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</si>
  <si>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</si>
  <si>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</si>
  <si>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</si>
  <si>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</si>
  <si>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</si>
  <si>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</si>
  <si>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</si>
  <si>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</si>
  <si>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</si>
  <si>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</si>
  <si>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</si>
  <si>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</si>
  <si>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</si>
  <si>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</si>
  <si>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</si>
  <si>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</si>
  <si>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</si>
  <si>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</si>
  <si>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</si>
  <si>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</si>
  <si>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</si>
  <si>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</si>
  <si>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</si>
  <si>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</si>
  <si>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</si>
  <si>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</si>
  <si>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</si>
  <si>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</si>
  <si>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</si>
  <si>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</si>
  <si>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</si>
  <si>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</si>
  <si>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</si>
  <si>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</si>
  <si>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</si>
  <si>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</si>
  <si>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</si>
  <si>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</si>
  <si>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</si>
  <si>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</si>
  <si>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</si>
  <si>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</si>
  <si>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</si>
  <si>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</si>
  <si>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</si>
  <si>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</si>
  <si>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</si>
  <si>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</si>
  <si>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</si>
  <si>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</si>
  <si>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</si>
  <si>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</si>
  <si>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</si>
  <si>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</si>
  <si>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</si>
  <si>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</si>
  <si>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</si>
  <si>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</si>
  <si>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</si>
  <si>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</si>
  <si>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</si>
  <si>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</si>
  <si>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</si>
  <si>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</si>
  <si>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</si>
  <si>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</si>
  <si>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</si>
  <si>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</si>
  <si>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</si>
  <si>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</si>
  <si>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</si>
  <si>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</si>
  <si>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</si>
  <si>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</si>
  <si>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</si>
  <si>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</si>
  <si>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</si>
  <si>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</si>
  <si>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</si>
  <si>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</si>
  <si>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</si>
  <si>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</si>
  <si>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</si>
  <si>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</si>
  <si>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</si>
  <si>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</si>
  <si>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</si>
  <si>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</si>
  <si>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</si>
  <si>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</si>
  <si>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</si>
  <si>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</si>
  <si>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</si>
  <si>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</si>
  <si>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</si>
  <si>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</si>
  <si>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</si>
  <si>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</si>
  <si>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</si>
  <si>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</si>
  <si>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</si>
  <si>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</si>
  <si>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</si>
  <si>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</si>
  <si>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</si>
  <si>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</si>
  <si>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</si>
  <si>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</si>
  <si>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</si>
  <si>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</si>
  <si>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</si>
  <si>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</si>
  <si>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</si>
  <si>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</si>
  <si>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</si>
  <si>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</si>
  <si>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</si>
  <si>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</si>
  <si>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</si>
  <si>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</si>
  <si>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</si>
  <si>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</si>
  <si>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</si>
  <si>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</si>
  <si>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</si>
  <si>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</si>
  <si>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</si>
  <si>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</si>
  <si>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</si>
  <si>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</si>
  <si>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</si>
  <si>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</si>
  <si>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</si>
  <si>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</si>
  <si>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</si>
  <si>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</si>
  <si>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</si>
  <si>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</si>
  <si>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</si>
  <si>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</si>
  <si>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</si>
  <si>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</si>
  <si>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</si>
  <si>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</si>
  <si>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</si>
  <si>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</si>
  <si>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</si>
  <si>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</si>
  <si>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</si>
  <si>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</si>
  <si>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</si>
  <si>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</si>
  <si>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</si>
  <si>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</si>
  <si>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</si>
  <si>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</si>
  <si>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</si>
  <si>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</si>
  <si>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</si>
  <si>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</si>
  <si>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</si>
  <si>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</si>
  <si>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</si>
  <si>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</si>
  <si>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</si>
  <si>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</si>
  <si>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</si>
  <si>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</si>
  <si>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</si>
  <si>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</si>
  <si>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</si>
  <si>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</si>
  <si>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</si>
  <si>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</si>
  <si>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</si>
  <si>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</si>
  <si>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</si>
  <si>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</si>
  <si>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</si>
  <si>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</si>
  <si>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</si>
  <si>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</si>
  <si>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</si>
  <si>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</si>
  <si>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</si>
  <si>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</si>
  <si>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</si>
  <si>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</si>
  <si>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</si>
  <si>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</si>
  <si>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</si>
  <si>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</si>
  <si>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</si>
  <si>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</si>
  <si>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</si>
  <si>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</si>
  <si>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</si>
  <si>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</si>
  <si>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</si>
  <si>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</si>
  <si>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</si>
  <si>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</si>
  <si>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</si>
  <si>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</si>
  <si>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</si>
  <si>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</si>
  <si>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</si>
  <si>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</si>
  <si>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</si>
  <si>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</si>
  <si>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</si>
  <si>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</si>
  <si>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</si>
  <si>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</si>
  <si>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</si>
  <si>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</si>
  <si>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</si>
  <si>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</si>
  <si>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</si>
  <si>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</si>
  <si>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</si>
  <si>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</si>
  <si>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</si>
  <si>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</si>
  <si>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</si>
  <si>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</si>
  <si>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</si>
  <si>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</si>
  <si>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</si>
  <si>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</si>
  <si>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</si>
  <si>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</si>
  <si>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</si>
  <si>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</si>
  <si>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</si>
  <si>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</si>
  <si>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</si>
  <si>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</si>
  <si>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</si>
  <si>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</si>
  <si>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43018</t>
  </si>
  <si>
    <t>ZELZATE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</si>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</sst>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102569.85958225629</c:v>
                </c:pt>
                <c:pt idx="1">
                  <c:v>40090.700848200198</c:v>
                </c:pt>
                <c:pt idx="2">
                  <c:v>718.38300000000004</c:v>
                </c:pt>
                <c:pt idx="3">
                  <c:v>1230.9414145992355</c:v>
                </c:pt>
                <c:pt idx="4">
                  <c:v>185991.31446058911</c:v>
                </c:pt>
                <c:pt idx="5">
                  <c:v>109966.11615235728</c:v>
                </c:pt>
                <c:pt idx="6">
                  <c:v>594.13113414745305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102569.85958225629</c:v>
                </c:pt>
                <c:pt idx="1">
                  <c:v>40090.700848200198</c:v>
                </c:pt>
                <c:pt idx="2">
                  <c:v>718.38300000000004</c:v>
                </c:pt>
                <c:pt idx="3">
                  <c:v>1230.9414145992355</c:v>
                </c:pt>
                <c:pt idx="4">
                  <c:v>185991.31446058911</c:v>
                </c:pt>
                <c:pt idx="5">
                  <c:v>109966.11615235728</c:v>
                </c:pt>
                <c:pt idx="6">
                  <c:v>594.13113414745305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18987.346121234354</c:v>
                </c:pt>
                <c:pt idx="1">
                  <c:v>6643.4585963758163</c:v>
                </c:pt>
                <c:pt idx="2">
                  <c:v>73.527319456898226</c:v>
                </c:pt>
                <c:pt idx="3">
                  <c:v>290.42532577073581</c:v>
                </c:pt>
                <c:pt idx="4">
                  <c:v>33568.431600392832</c:v>
                </c:pt>
                <c:pt idx="5">
                  <c:v>27425.368265870475</c:v>
                </c:pt>
                <c:pt idx="6">
                  <c:v>148.98869648652459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18987.346121234354</c:v>
                </c:pt>
                <c:pt idx="1">
                  <c:v>6643.4585963758163</c:v>
                </c:pt>
                <c:pt idx="2">
                  <c:v>73.527319456898226</c:v>
                </c:pt>
                <c:pt idx="3">
                  <c:v>290.42532577073581</c:v>
                </c:pt>
                <c:pt idx="4">
                  <c:v>33568.431600392832</c:v>
                </c:pt>
                <c:pt idx="5">
                  <c:v>27425.368265870475</c:v>
                </c:pt>
                <c:pt idx="6">
                  <c:v>148.98869648652459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43018</v>
      </c>
      <c r="B6" s="386"/>
      <c r="C6" s="387"/>
    </row>
    <row r="7" spans="1:7" s="384" customFormat="1" ht="15.75" customHeight="1">
      <c r="A7" s="388" t="str">
        <f>txtMunicipality</f>
        <v>ZELZATE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13642.729118999998</v>
      </c>
      <c r="D10" s="681">
        <f ca="1">tertiair!C16</f>
        <v>0</v>
      </c>
      <c r="E10" s="681">
        <f ca="1">tertiair!D16</f>
        <v>24139.957134546003</v>
      </c>
      <c r="F10" s="681">
        <f>tertiair!E16</f>
        <v>180.43273646019605</v>
      </c>
      <c r="G10" s="681">
        <f ca="1">tertiair!F16</f>
        <v>1510.8446842807257</v>
      </c>
      <c r="H10" s="681">
        <f>tertiair!G16</f>
        <v>0</v>
      </c>
      <c r="I10" s="681">
        <f>tertiair!H16</f>
        <v>0</v>
      </c>
      <c r="J10" s="681">
        <f>tertiair!I16</f>
        <v>0</v>
      </c>
      <c r="K10" s="681">
        <f>tertiair!J16</f>
        <v>3.3689782419639956E-2</v>
      </c>
      <c r="L10" s="681">
        <f>tertiair!K16</f>
        <v>0</v>
      </c>
      <c r="M10" s="681">
        <f ca="1">tertiair!L16</f>
        <v>0</v>
      </c>
      <c r="N10" s="681">
        <f>tertiair!M16</f>
        <v>0</v>
      </c>
      <c r="O10" s="681">
        <f ca="1">tertiair!N16</f>
        <v>1320.3947018333365</v>
      </c>
      <c r="P10" s="681">
        <f>tertiair!O16</f>
        <v>14.691782297523464</v>
      </c>
      <c r="Q10" s="682">
        <f>tertiair!P16</f>
        <v>0</v>
      </c>
      <c r="R10" s="684">
        <f ca="1">SUM(C10:Q10)</f>
        <v>40809.0838482002</v>
      </c>
      <c r="S10" s="67"/>
    </row>
    <row r="11" spans="1:19" s="444" customFormat="1">
      <c r="A11" s="802" t="s">
        <v>219</v>
      </c>
      <c r="B11" s="807"/>
      <c r="C11" s="681">
        <f>huishoudens!B8</f>
        <v>19747.716110324571</v>
      </c>
      <c r="D11" s="681">
        <f>huishoudens!C8</f>
        <v>0</v>
      </c>
      <c r="E11" s="681">
        <f>huishoudens!D8</f>
        <v>47254.889635800006</v>
      </c>
      <c r="F11" s="681">
        <f>huishoudens!E8</f>
        <v>1629.4114198838097</v>
      </c>
      <c r="G11" s="681">
        <f>huishoudens!F8</f>
        <v>26268.283778389268</v>
      </c>
      <c r="H11" s="681">
        <f>huishoudens!G8</f>
        <v>0</v>
      </c>
      <c r="I11" s="681">
        <f>huishoudens!H8</f>
        <v>0</v>
      </c>
      <c r="J11" s="681">
        <f>huishoudens!I8</f>
        <v>0</v>
      </c>
      <c r="K11" s="681">
        <f>huishoudens!J8</f>
        <v>104.94063557444375</v>
      </c>
      <c r="L11" s="681">
        <f>huishoudens!K8</f>
        <v>0</v>
      </c>
      <c r="M11" s="681">
        <f>huishoudens!L8</f>
        <v>0</v>
      </c>
      <c r="N11" s="681">
        <f>huishoudens!M8</f>
        <v>0</v>
      </c>
      <c r="O11" s="681">
        <f>huishoudens!N8</f>
        <v>7364.3796757132404</v>
      </c>
      <c r="P11" s="681">
        <f>huishoudens!O8</f>
        <v>168.63644864789771</v>
      </c>
      <c r="Q11" s="682">
        <f>huishoudens!P8</f>
        <v>31.601877923055071</v>
      </c>
      <c r="R11" s="684">
        <f>SUM(C11:Q11)</f>
        <v>102569.85958225629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40726.146173000008</v>
      </c>
      <c r="D13" s="681">
        <f>industrie!C18</f>
        <v>0</v>
      </c>
      <c r="E13" s="681">
        <f>industrie!D18</f>
        <v>143759.76707839998</v>
      </c>
      <c r="F13" s="681">
        <f>industrie!E18</f>
        <v>282.91913586472219</v>
      </c>
      <c r="G13" s="681">
        <f>industrie!F18</f>
        <v>1097.9546629518734</v>
      </c>
      <c r="H13" s="681">
        <f>industrie!G18</f>
        <v>0</v>
      </c>
      <c r="I13" s="681">
        <f>industrie!H18</f>
        <v>0</v>
      </c>
      <c r="J13" s="681">
        <f>industrie!I18</f>
        <v>0</v>
      </c>
      <c r="K13" s="681">
        <f>industrie!J18</f>
        <v>9.0807840861602447</v>
      </c>
      <c r="L13" s="681">
        <f>industrie!K18</f>
        <v>0</v>
      </c>
      <c r="M13" s="681">
        <f>industrie!L18</f>
        <v>0</v>
      </c>
      <c r="N13" s="681">
        <f>industrie!M18</f>
        <v>0</v>
      </c>
      <c r="O13" s="681">
        <f>industrie!N18</f>
        <v>115.44662628635942</v>
      </c>
      <c r="P13" s="681">
        <f>industrie!O18</f>
        <v>0</v>
      </c>
      <c r="Q13" s="682">
        <f>industrie!P18</f>
        <v>0</v>
      </c>
      <c r="R13" s="684">
        <f>SUM(C13:Q13)</f>
        <v>185991.31446058911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74116.591402324586</v>
      </c>
      <c r="D16" s="717">
        <f t="shared" ref="D16:R16" ca="1" si="0">SUM(D9:D15)</f>
        <v>0</v>
      </c>
      <c r="E16" s="717">
        <f t="shared" ca="1" si="0"/>
        <v>215154.613848746</v>
      </c>
      <c r="F16" s="717">
        <f t="shared" si="0"/>
        <v>2092.7632922087278</v>
      </c>
      <c r="G16" s="717">
        <f t="shared" ca="1" si="0"/>
        <v>28877.083125621866</v>
      </c>
      <c r="H16" s="717">
        <f t="shared" si="0"/>
        <v>0</v>
      </c>
      <c r="I16" s="717">
        <f t="shared" si="0"/>
        <v>0</v>
      </c>
      <c r="J16" s="717">
        <f t="shared" si="0"/>
        <v>0</v>
      </c>
      <c r="K16" s="717">
        <f t="shared" si="0"/>
        <v>114.05510944302364</v>
      </c>
      <c r="L16" s="717">
        <f t="shared" si="0"/>
        <v>0</v>
      </c>
      <c r="M16" s="717">
        <f t="shared" ca="1" si="0"/>
        <v>0</v>
      </c>
      <c r="N16" s="717">
        <f t="shared" si="0"/>
        <v>0</v>
      </c>
      <c r="O16" s="717">
        <f t="shared" ca="1" si="0"/>
        <v>8800.2210038329358</v>
      </c>
      <c r="P16" s="717">
        <f t="shared" si="0"/>
        <v>183.32823094542118</v>
      </c>
      <c r="Q16" s="717">
        <f t="shared" si="0"/>
        <v>31.601877923055071</v>
      </c>
      <c r="R16" s="717">
        <f t="shared" ca="1" si="0"/>
        <v>329370.25789104565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7.6613070146622322</v>
      </c>
      <c r="D19" s="681">
        <f>transport!C54</f>
        <v>0</v>
      </c>
      <c r="E19" s="681">
        <f>transport!D54</f>
        <v>0</v>
      </c>
      <c r="F19" s="681">
        <f>transport!E54</f>
        <v>0</v>
      </c>
      <c r="G19" s="681">
        <f>transport!F54</f>
        <v>0</v>
      </c>
      <c r="H19" s="681">
        <f>transport!G54</f>
        <v>555.07323211566234</v>
      </c>
      <c r="I19" s="681">
        <f>transport!H54</f>
        <v>0</v>
      </c>
      <c r="J19" s="681">
        <f>transport!I54</f>
        <v>0</v>
      </c>
      <c r="K19" s="681">
        <f>transport!J54</f>
        <v>0</v>
      </c>
      <c r="L19" s="681">
        <f>transport!K54</f>
        <v>0</v>
      </c>
      <c r="M19" s="681">
        <f>transport!L54</f>
        <v>0</v>
      </c>
      <c r="N19" s="681">
        <f>transport!M54</f>
        <v>31.39659501712843</v>
      </c>
      <c r="O19" s="681">
        <f>transport!N54</f>
        <v>0</v>
      </c>
      <c r="P19" s="681">
        <f>transport!O54</f>
        <v>0</v>
      </c>
      <c r="Q19" s="682">
        <f>transport!P54</f>
        <v>0</v>
      </c>
      <c r="R19" s="684">
        <f>SUM(C19:Q19)</f>
        <v>594.13113414745305</v>
      </c>
      <c r="S19" s="67"/>
    </row>
    <row r="20" spans="1:19" s="444" customFormat="1">
      <c r="A20" s="802" t="s">
        <v>301</v>
      </c>
      <c r="B20" s="807"/>
      <c r="C20" s="681">
        <f>transport!B14</f>
        <v>107.19551615817205</v>
      </c>
      <c r="D20" s="681">
        <f>transport!C14</f>
        <v>0</v>
      </c>
      <c r="E20" s="681">
        <f>transport!D14</f>
        <v>167.71943745512732</v>
      </c>
      <c r="F20" s="681">
        <f>transport!E14</f>
        <v>159.47429228643259</v>
      </c>
      <c r="G20" s="681">
        <f>transport!F14</f>
        <v>0</v>
      </c>
      <c r="H20" s="681">
        <f>transport!G14</f>
        <v>88223.210007307236</v>
      </c>
      <c r="I20" s="681">
        <f>transport!H14</f>
        <v>15215.741445203288</v>
      </c>
      <c r="J20" s="681">
        <f>transport!I14</f>
        <v>0</v>
      </c>
      <c r="K20" s="681">
        <f>transport!J14</f>
        <v>0</v>
      </c>
      <c r="L20" s="681">
        <f>transport!K14</f>
        <v>0</v>
      </c>
      <c r="M20" s="681">
        <f>transport!L14</f>
        <v>0</v>
      </c>
      <c r="N20" s="681">
        <f>transport!M14</f>
        <v>6092.7754539470316</v>
      </c>
      <c r="O20" s="681">
        <f>transport!N14</f>
        <v>0</v>
      </c>
      <c r="P20" s="681">
        <f>transport!O14</f>
        <v>0</v>
      </c>
      <c r="Q20" s="682">
        <f>transport!P14</f>
        <v>0</v>
      </c>
      <c r="R20" s="684">
        <f>SUM(C20:Q20)</f>
        <v>109966.11615235728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114.85682317283428</v>
      </c>
      <c r="D22" s="805">
        <f t="shared" ref="D22:R22" si="1">SUM(D18:D21)</f>
        <v>0</v>
      </c>
      <c r="E22" s="805">
        <f t="shared" si="1"/>
        <v>167.71943745512732</v>
      </c>
      <c r="F22" s="805">
        <f t="shared" si="1"/>
        <v>159.47429228643259</v>
      </c>
      <c r="G22" s="805">
        <f t="shared" si="1"/>
        <v>0</v>
      </c>
      <c r="H22" s="805">
        <f t="shared" si="1"/>
        <v>88778.283239422904</v>
      </c>
      <c r="I22" s="805">
        <f t="shared" si="1"/>
        <v>15215.741445203288</v>
      </c>
      <c r="J22" s="805">
        <f t="shared" si="1"/>
        <v>0</v>
      </c>
      <c r="K22" s="805">
        <f t="shared" si="1"/>
        <v>0</v>
      </c>
      <c r="L22" s="805">
        <f t="shared" si="1"/>
        <v>0</v>
      </c>
      <c r="M22" s="805">
        <f t="shared" si="1"/>
        <v>0</v>
      </c>
      <c r="N22" s="805">
        <f t="shared" si="1"/>
        <v>6124.1720489641602</v>
      </c>
      <c r="O22" s="805">
        <f t="shared" si="1"/>
        <v>0</v>
      </c>
      <c r="P22" s="805">
        <f t="shared" si="1"/>
        <v>0</v>
      </c>
      <c r="Q22" s="805">
        <f t="shared" si="1"/>
        <v>0</v>
      </c>
      <c r="R22" s="805">
        <f t="shared" si="1"/>
        <v>110560.24728650473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241.85848000000001</v>
      </c>
      <c r="D24" s="681">
        <f>+landbouw!C8</f>
        <v>0</v>
      </c>
      <c r="E24" s="681">
        <f>+landbouw!D8</f>
        <v>60.146262</v>
      </c>
      <c r="F24" s="681">
        <f>+landbouw!E8</f>
        <v>7.5483234057125124</v>
      </c>
      <c r="G24" s="681">
        <f>+landbouw!F8</f>
        <v>854.75466067966374</v>
      </c>
      <c r="H24" s="681">
        <f>+landbouw!G8</f>
        <v>0</v>
      </c>
      <c r="I24" s="681">
        <f>+landbouw!H8</f>
        <v>0</v>
      </c>
      <c r="J24" s="681">
        <f>+landbouw!I8</f>
        <v>0</v>
      </c>
      <c r="K24" s="681">
        <f>+landbouw!J8</f>
        <v>66.633688513859283</v>
      </c>
      <c r="L24" s="681">
        <f>+landbouw!K8</f>
        <v>0</v>
      </c>
      <c r="M24" s="681">
        <f>+landbouw!L8</f>
        <v>0</v>
      </c>
      <c r="N24" s="681">
        <f>+landbouw!M8</f>
        <v>0</v>
      </c>
      <c r="O24" s="681">
        <f>+landbouw!N8</f>
        <v>0</v>
      </c>
      <c r="P24" s="681">
        <f>+landbouw!O8</f>
        <v>0</v>
      </c>
      <c r="Q24" s="682">
        <f>+landbouw!P8</f>
        <v>0</v>
      </c>
      <c r="R24" s="684">
        <f>SUM(C24:Q24)</f>
        <v>1230.9414145992355</v>
      </c>
      <c r="S24" s="67"/>
    </row>
    <row r="25" spans="1:19" s="444" customFormat="1" ht="15" thickBot="1">
      <c r="A25" s="824" t="s">
        <v>714</v>
      </c>
      <c r="B25" s="943"/>
      <c r="C25" s="944">
        <f>IF(Onbekend_ele_kWh="---",0,Onbekend_ele_kWh)/1000+IF(REST_rest_ele_kWh="---",0,REST_rest_ele_kWh)/1000</f>
        <v>825.88569999999993</v>
      </c>
      <c r="D25" s="944"/>
      <c r="E25" s="944">
        <f>IF(onbekend_gas_kWh="---",0,onbekend_gas_kWh)/1000+IF(REST_rest_gas_kWh="---",0,REST_rest_gas_kWh)/1000</f>
        <v>2473.2685999999999</v>
      </c>
      <c r="F25" s="944"/>
      <c r="G25" s="944"/>
      <c r="H25" s="944"/>
      <c r="I25" s="944"/>
      <c r="J25" s="944"/>
      <c r="K25" s="944"/>
      <c r="L25" s="944"/>
      <c r="M25" s="944"/>
      <c r="N25" s="944"/>
      <c r="O25" s="944"/>
      <c r="P25" s="944"/>
      <c r="Q25" s="945"/>
      <c r="R25" s="684">
        <f>SUM(C25:Q25)</f>
        <v>3299.1542999999997</v>
      </c>
      <c r="S25" s="67"/>
    </row>
    <row r="26" spans="1:19" s="444" customFormat="1" ht="15.75" thickBot="1">
      <c r="A26" s="689" t="s">
        <v>715</v>
      </c>
      <c r="B26" s="810"/>
      <c r="C26" s="805">
        <f>SUM(C24:C25)</f>
        <v>1067.7441799999999</v>
      </c>
      <c r="D26" s="805">
        <f t="shared" ref="D26:R26" si="2">SUM(D24:D25)</f>
        <v>0</v>
      </c>
      <c r="E26" s="805">
        <f t="shared" si="2"/>
        <v>2533.4148620000001</v>
      </c>
      <c r="F26" s="805">
        <f t="shared" si="2"/>
        <v>7.5483234057125124</v>
      </c>
      <c r="G26" s="805">
        <f t="shared" si="2"/>
        <v>854.75466067966374</v>
      </c>
      <c r="H26" s="805">
        <f t="shared" si="2"/>
        <v>0</v>
      </c>
      <c r="I26" s="805">
        <f t="shared" si="2"/>
        <v>0</v>
      </c>
      <c r="J26" s="805">
        <f t="shared" si="2"/>
        <v>0</v>
      </c>
      <c r="K26" s="805">
        <f t="shared" si="2"/>
        <v>66.633688513859283</v>
      </c>
      <c r="L26" s="805">
        <f t="shared" si="2"/>
        <v>0</v>
      </c>
      <c r="M26" s="805">
        <f t="shared" si="2"/>
        <v>0</v>
      </c>
      <c r="N26" s="805">
        <f t="shared" si="2"/>
        <v>0</v>
      </c>
      <c r="O26" s="805">
        <f t="shared" si="2"/>
        <v>0</v>
      </c>
      <c r="P26" s="805">
        <f t="shared" si="2"/>
        <v>0</v>
      </c>
      <c r="Q26" s="805">
        <f t="shared" si="2"/>
        <v>0</v>
      </c>
      <c r="R26" s="805">
        <f t="shared" si="2"/>
        <v>4530.0957145992352</v>
      </c>
      <c r="S26" s="67"/>
    </row>
    <row r="27" spans="1:19" s="444" customFormat="1" ht="17.25" thickTop="1" thickBot="1">
      <c r="A27" s="690" t="s">
        <v>115</v>
      </c>
      <c r="B27" s="797"/>
      <c r="C27" s="691">
        <f ca="1">C22+C16+C26</f>
        <v>75299.192405497408</v>
      </c>
      <c r="D27" s="691">
        <f t="shared" ref="D27:R27" ca="1" si="3">D22+D16+D26</f>
        <v>0</v>
      </c>
      <c r="E27" s="691">
        <f t="shared" ca="1" si="3"/>
        <v>217855.74814820112</v>
      </c>
      <c r="F27" s="691">
        <f t="shared" si="3"/>
        <v>2259.7859079008726</v>
      </c>
      <c r="G27" s="691">
        <f t="shared" ca="1" si="3"/>
        <v>29731.83778630153</v>
      </c>
      <c r="H27" s="691">
        <f t="shared" si="3"/>
        <v>88778.283239422904</v>
      </c>
      <c r="I27" s="691">
        <f t="shared" si="3"/>
        <v>15215.741445203288</v>
      </c>
      <c r="J27" s="691">
        <f t="shared" si="3"/>
        <v>0</v>
      </c>
      <c r="K27" s="691">
        <f t="shared" si="3"/>
        <v>180.68879795688292</v>
      </c>
      <c r="L27" s="691">
        <f t="shared" si="3"/>
        <v>0</v>
      </c>
      <c r="M27" s="691">
        <f t="shared" ca="1" si="3"/>
        <v>0</v>
      </c>
      <c r="N27" s="691">
        <f t="shared" si="3"/>
        <v>6124.1720489641602</v>
      </c>
      <c r="O27" s="691">
        <f t="shared" ca="1" si="3"/>
        <v>8800.2210038329358</v>
      </c>
      <c r="P27" s="691">
        <f t="shared" si="3"/>
        <v>183.32823094542118</v>
      </c>
      <c r="Q27" s="691">
        <f t="shared" si="3"/>
        <v>31.601877923055071</v>
      </c>
      <c r="R27" s="691">
        <f t="shared" ca="1" si="3"/>
        <v>444460.60089214961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1396.3488865920276</v>
      </c>
      <c r="D40" s="681">
        <f ca="1">tertiair!C20</f>
        <v>0</v>
      </c>
      <c r="E40" s="681">
        <f ca="1">tertiair!D20</f>
        <v>4876.2713411782925</v>
      </c>
      <c r="F40" s="681">
        <f>tertiair!E20</f>
        <v>40.958231176464508</v>
      </c>
      <c r="G40" s="681">
        <f ca="1">tertiair!F20</f>
        <v>403.39553070295381</v>
      </c>
      <c r="H40" s="681">
        <f>tertiair!G20</f>
        <v>0</v>
      </c>
      <c r="I40" s="681">
        <f>tertiair!H20</f>
        <v>0</v>
      </c>
      <c r="J40" s="681">
        <f>tertiair!I20</f>
        <v>0</v>
      </c>
      <c r="K40" s="681">
        <f>tertiair!J20</f>
        <v>1.1926182976552544E-2</v>
      </c>
      <c r="L40" s="681">
        <f>tertiair!K20</f>
        <v>0</v>
      </c>
      <c r="M40" s="681">
        <f ca="1">tertiair!L20</f>
        <v>0</v>
      </c>
      <c r="N40" s="681">
        <f>tertiair!M20</f>
        <v>0</v>
      </c>
      <c r="O40" s="681">
        <f ca="1">tertiair!N20</f>
        <v>0</v>
      </c>
      <c r="P40" s="681">
        <f>tertiair!O20</f>
        <v>0</v>
      </c>
      <c r="Q40" s="764">
        <f>tertiair!P20</f>
        <v>0</v>
      </c>
      <c r="R40" s="843">
        <f t="shared" ca="1" si="4"/>
        <v>6716.9859158327145</v>
      </c>
    </row>
    <row r="41" spans="1:18">
      <c r="A41" s="815" t="s">
        <v>219</v>
      </c>
      <c r="B41" s="822"/>
      <c r="C41" s="681">
        <f ca="1">huishoudens!B12</f>
        <v>2021.2012686658375</v>
      </c>
      <c r="D41" s="681">
        <f ca="1">huishoudens!C12</f>
        <v>0</v>
      </c>
      <c r="E41" s="681">
        <f>huishoudens!D12</f>
        <v>9545.4877064316024</v>
      </c>
      <c r="F41" s="681">
        <f>huishoudens!E12</f>
        <v>369.87639231362482</v>
      </c>
      <c r="G41" s="681">
        <f>huishoudens!F12</f>
        <v>7013.631768829935</v>
      </c>
      <c r="H41" s="681">
        <f>huishoudens!G12</f>
        <v>0</v>
      </c>
      <c r="I41" s="681">
        <f>huishoudens!H12</f>
        <v>0</v>
      </c>
      <c r="J41" s="681">
        <f>huishoudens!I12</f>
        <v>0</v>
      </c>
      <c r="K41" s="681">
        <f>huishoudens!J12</f>
        <v>37.148984993353082</v>
      </c>
      <c r="L41" s="681">
        <f>huishoudens!K12</f>
        <v>0</v>
      </c>
      <c r="M41" s="681">
        <f>huishoudens!L12</f>
        <v>0</v>
      </c>
      <c r="N41" s="681">
        <f>huishoudens!M12</f>
        <v>0</v>
      </c>
      <c r="O41" s="681">
        <f>huishoudens!N12</f>
        <v>0</v>
      </c>
      <c r="P41" s="681">
        <f>huishoudens!O12</f>
        <v>0</v>
      </c>
      <c r="Q41" s="764">
        <f>huishoudens!P12</f>
        <v>0</v>
      </c>
      <c r="R41" s="843">
        <f t="shared" ca="1" si="4"/>
        <v>18987.346121234354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4168.3675141400963</v>
      </c>
      <c r="D43" s="681">
        <f ca="1">industrie!C22</f>
        <v>0</v>
      </c>
      <c r="E43" s="681">
        <f>industrie!D22</f>
        <v>29039.472949836796</v>
      </c>
      <c r="F43" s="681">
        <f>industrie!E22</f>
        <v>64.222643841291941</v>
      </c>
      <c r="G43" s="681">
        <f>industrie!F22</f>
        <v>293.15389500815019</v>
      </c>
      <c r="H43" s="681">
        <f>industrie!G22</f>
        <v>0</v>
      </c>
      <c r="I43" s="681">
        <f>industrie!H22</f>
        <v>0</v>
      </c>
      <c r="J43" s="681">
        <f>industrie!I22</f>
        <v>0</v>
      </c>
      <c r="K43" s="681">
        <f>industrie!J22</f>
        <v>3.2145975665007263</v>
      </c>
      <c r="L43" s="681">
        <f>industrie!K22</f>
        <v>0</v>
      </c>
      <c r="M43" s="681">
        <f>industrie!L22</f>
        <v>0</v>
      </c>
      <c r="N43" s="681">
        <f>industrie!M22</f>
        <v>0</v>
      </c>
      <c r="O43" s="681">
        <f>industrie!N22</f>
        <v>0</v>
      </c>
      <c r="P43" s="681">
        <f>industrie!O22</f>
        <v>0</v>
      </c>
      <c r="Q43" s="764">
        <f>industrie!P22</f>
        <v>0</v>
      </c>
      <c r="R43" s="842">
        <f t="shared" ca="1" si="4"/>
        <v>33568.431600392832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7585.9176693979616</v>
      </c>
      <c r="D46" s="717">
        <f t="shared" ref="D46:Q46" ca="1" si="5">SUM(D39:D45)</f>
        <v>0</v>
      </c>
      <c r="E46" s="717">
        <f t="shared" ca="1" si="5"/>
        <v>43461.231997446695</v>
      </c>
      <c r="F46" s="717">
        <f t="shared" si="5"/>
        <v>475.05726733138124</v>
      </c>
      <c r="G46" s="717">
        <f t="shared" ca="1" si="5"/>
        <v>7710.1811945410391</v>
      </c>
      <c r="H46" s="717">
        <f t="shared" si="5"/>
        <v>0</v>
      </c>
      <c r="I46" s="717">
        <f t="shared" si="5"/>
        <v>0</v>
      </c>
      <c r="J46" s="717">
        <f t="shared" si="5"/>
        <v>0</v>
      </c>
      <c r="K46" s="717">
        <f t="shared" si="5"/>
        <v>40.375508742830363</v>
      </c>
      <c r="L46" s="717">
        <f t="shared" si="5"/>
        <v>0</v>
      </c>
      <c r="M46" s="717">
        <f t="shared" ca="1" si="5"/>
        <v>0</v>
      </c>
      <c r="N46" s="717">
        <f t="shared" si="5"/>
        <v>0</v>
      </c>
      <c r="O46" s="717">
        <f t="shared" ca="1" si="5"/>
        <v>0</v>
      </c>
      <c r="P46" s="717">
        <f t="shared" si="5"/>
        <v>0</v>
      </c>
      <c r="Q46" s="717">
        <f t="shared" si="5"/>
        <v>0</v>
      </c>
      <c r="R46" s="717">
        <f ca="1">SUM(R39:R45)</f>
        <v>59272.763637459902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0.78414351164273821</v>
      </c>
      <c r="D49" s="681">
        <f ca="1">transport!C58</f>
        <v>0</v>
      </c>
      <c r="E49" s="681">
        <f>transport!D58</f>
        <v>0</v>
      </c>
      <c r="F49" s="681">
        <f>transport!E58</f>
        <v>0</v>
      </c>
      <c r="G49" s="681">
        <f>transport!F58</f>
        <v>0</v>
      </c>
      <c r="H49" s="681">
        <f>transport!G58</f>
        <v>148.20455297488186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148.98869648652459</v>
      </c>
    </row>
    <row r="50" spans="1:18">
      <c r="A50" s="818" t="s">
        <v>301</v>
      </c>
      <c r="B50" s="828"/>
      <c r="C50" s="687">
        <f ca="1">transport!B18</f>
        <v>10.971583348866847</v>
      </c>
      <c r="D50" s="687">
        <f>transport!C18</f>
        <v>0</v>
      </c>
      <c r="E50" s="687">
        <f>transport!D18</f>
        <v>33.879326365935718</v>
      </c>
      <c r="F50" s="687">
        <f>transport!E18</f>
        <v>36.200664349020201</v>
      </c>
      <c r="G50" s="687">
        <f>transport!F18</f>
        <v>0</v>
      </c>
      <c r="H50" s="687">
        <f>transport!G18</f>
        <v>23555.597071951033</v>
      </c>
      <c r="I50" s="687">
        <f>transport!H18</f>
        <v>3788.7196198556189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27425.368265870475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11.755726860509586</v>
      </c>
      <c r="D52" s="717">
        <f t="shared" ref="D52:Q52" ca="1" si="6">SUM(D48:D51)</f>
        <v>0</v>
      </c>
      <c r="E52" s="717">
        <f t="shared" si="6"/>
        <v>33.879326365935718</v>
      </c>
      <c r="F52" s="717">
        <f t="shared" si="6"/>
        <v>36.200664349020201</v>
      </c>
      <c r="G52" s="717">
        <f t="shared" si="6"/>
        <v>0</v>
      </c>
      <c r="H52" s="717">
        <f t="shared" si="6"/>
        <v>23703.801624925916</v>
      </c>
      <c r="I52" s="717">
        <f t="shared" si="6"/>
        <v>3788.7196198556189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27574.356962357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24.754491298262668</v>
      </c>
      <c r="D54" s="687">
        <f ca="1">+landbouw!C12</f>
        <v>0</v>
      </c>
      <c r="E54" s="687">
        <f>+landbouw!D12</f>
        <v>12.149544924000001</v>
      </c>
      <c r="F54" s="687">
        <f>+landbouw!E12</f>
        <v>1.7134694130967403</v>
      </c>
      <c r="G54" s="687">
        <f>+landbouw!F12</f>
        <v>228.21949440147023</v>
      </c>
      <c r="H54" s="687">
        <f>+landbouw!G12</f>
        <v>0</v>
      </c>
      <c r="I54" s="687">
        <f>+landbouw!H12</f>
        <v>0</v>
      </c>
      <c r="J54" s="687">
        <f>+landbouw!I12</f>
        <v>0</v>
      </c>
      <c r="K54" s="687">
        <f>+landbouw!J12</f>
        <v>23.588325733906185</v>
      </c>
      <c r="L54" s="687">
        <f>+landbouw!K12</f>
        <v>0</v>
      </c>
      <c r="M54" s="687">
        <f>+landbouw!L12</f>
        <v>0</v>
      </c>
      <c r="N54" s="687">
        <f>+landbouw!M12</f>
        <v>0</v>
      </c>
      <c r="O54" s="687">
        <f>+landbouw!N12</f>
        <v>0</v>
      </c>
      <c r="P54" s="687">
        <f>+landbouw!O12</f>
        <v>0</v>
      </c>
      <c r="Q54" s="688">
        <f>+landbouw!P12</f>
        <v>0</v>
      </c>
      <c r="R54" s="716">
        <f ca="1">SUM(C54:Q54)</f>
        <v>290.42532577073581</v>
      </c>
    </row>
    <row r="55" spans="1:18" ht="15" thickBot="1">
      <c r="A55" s="818" t="s">
        <v>714</v>
      </c>
      <c r="B55" s="828"/>
      <c r="C55" s="687">
        <f ca="1">C25*'EF ele_warmte'!B12</f>
        <v>84.530343422358271</v>
      </c>
      <c r="D55" s="687"/>
      <c r="E55" s="687">
        <f>E25*EF_CO2_aardgas</f>
        <v>499.60025719999999</v>
      </c>
      <c r="F55" s="687"/>
      <c r="G55" s="687"/>
      <c r="H55" s="687"/>
      <c r="I55" s="687"/>
      <c r="J55" s="687"/>
      <c r="K55" s="687"/>
      <c r="L55" s="687"/>
      <c r="M55" s="687"/>
      <c r="N55" s="687"/>
      <c r="O55" s="687"/>
      <c r="P55" s="687"/>
      <c r="Q55" s="688"/>
      <c r="R55" s="716">
        <f ca="1">SUM(C55:Q55)</f>
        <v>584.13060062235832</v>
      </c>
    </row>
    <row r="56" spans="1:18" ht="15.75" thickBot="1">
      <c r="A56" s="816" t="s">
        <v>715</v>
      </c>
      <c r="B56" s="829"/>
      <c r="C56" s="717">
        <f ca="1">SUM(C54:C55)</f>
        <v>109.28483472062094</v>
      </c>
      <c r="D56" s="717">
        <f t="shared" ref="D56:Q56" ca="1" si="7">SUM(D54:D55)</f>
        <v>0</v>
      </c>
      <c r="E56" s="717">
        <f t="shared" si="7"/>
        <v>511.74980212399998</v>
      </c>
      <c r="F56" s="717">
        <f t="shared" si="7"/>
        <v>1.7134694130967403</v>
      </c>
      <c r="G56" s="717">
        <f t="shared" si="7"/>
        <v>228.21949440147023</v>
      </c>
      <c r="H56" s="717">
        <f t="shared" si="7"/>
        <v>0</v>
      </c>
      <c r="I56" s="717">
        <f t="shared" si="7"/>
        <v>0</v>
      </c>
      <c r="J56" s="717">
        <f t="shared" si="7"/>
        <v>0</v>
      </c>
      <c r="K56" s="717">
        <f t="shared" si="7"/>
        <v>23.588325733906185</v>
      </c>
      <c r="L56" s="717">
        <f t="shared" si="7"/>
        <v>0</v>
      </c>
      <c r="M56" s="717">
        <f t="shared" si="7"/>
        <v>0</v>
      </c>
      <c r="N56" s="717">
        <f t="shared" si="7"/>
        <v>0</v>
      </c>
      <c r="O56" s="717">
        <f t="shared" si="7"/>
        <v>0</v>
      </c>
      <c r="P56" s="717">
        <f t="shared" si="7"/>
        <v>0</v>
      </c>
      <c r="Q56" s="718">
        <f t="shared" si="7"/>
        <v>0</v>
      </c>
      <c r="R56" s="719">
        <f ca="1">SUM(R54:R55)</f>
        <v>874.55592639309407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7706.9582309790921</v>
      </c>
      <c r="D61" s="725">
        <f t="shared" ref="D61:Q61" ca="1" si="8">D46+D52+D56</f>
        <v>0</v>
      </c>
      <c r="E61" s="725">
        <f t="shared" ca="1" si="8"/>
        <v>44006.861125936637</v>
      </c>
      <c r="F61" s="725">
        <f t="shared" si="8"/>
        <v>512.97140109349823</v>
      </c>
      <c r="G61" s="725">
        <f t="shared" ca="1" si="8"/>
        <v>7938.4006889425091</v>
      </c>
      <c r="H61" s="725">
        <f t="shared" si="8"/>
        <v>23703.801624925916</v>
      </c>
      <c r="I61" s="725">
        <f t="shared" si="8"/>
        <v>3788.7196198556189</v>
      </c>
      <c r="J61" s="725">
        <f t="shared" si="8"/>
        <v>0</v>
      </c>
      <c r="K61" s="725">
        <f t="shared" si="8"/>
        <v>63.963834476736551</v>
      </c>
      <c r="L61" s="725">
        <f t="shared" si="8"/>
        <v>0</v>
      </c>
      <c r="M61" s="725">
        <f t="shared" ca="1" si="8"/>
        <v>0</v>
      </c>
      <c r="N61" s="725">
        <f t="shared" si="8"/>
        <v>0</v>
      </c>
      <c r="O61" s="725">
        <f t="shared" ca="1" si="8"/>
        <v>0</v>
      </c>
      <c r="P61" s="725">
        <f t="shared" si="8"/>
        <v>0</v>
      </c>
      <c r="Q61" s="725">
        <f t="shared" si="8"/>
        <v>0</v>
      </c>
      <c r="R61" s="725">
        <f ca="1">R46+R52+R56</f>
        <v>87721.676526209994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0.10235114062679411</v>
      </c>
      <c r="D63" s="771">
        <f t="shared" ca="1" si="9"/>
        <v>0</v>
      </c>
      <c r="E63" s="969">
        <f t="shared" ca="1" si="9"/>
        <v>0.20200000000000004</v>
      </c>
      <c r="F63" s="771">
        <f t="shared" si="9"/>
        <v>0.22700000000000006</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30513.202782287866</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9912.8754558833371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40426.078238171205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19747.716110324571</v>
      </c>
      <c r="C4" s="448">
        <f>huishoudens!C8</f>
        <v>0</v>
      </c>
      <c r="D4" s="448">
        <f>huishoudens!D8</f>
        <v>47254.889635800006</v>
      </c>
      <c r="E4" s="448">
        <f>huishoudens!E8</f>
        <v>1629.4114198838097</v>
      </c>
      <c r="F4" s="448">
        <f>huishoudens!F8</f>
        <v>26268.283778389268</v>
      </c>
      <c r="G4" s="448">
        <f>huishoudens!G8</f>
        <v>0</v>
      </c>
      <c r="H4" s="448">
        <f>huishoudens!H8</f>
        <v>0</v>
      </c>
      <c r="I4" s="448">
        <f>huishoudens!I8</f>
        <v>0</v>
      </c>
      <c r="J4" s="448">
        <f>huishoudens!J8</f>
        <v>104.94063557444375</v>
      </c>
      <c r="K4" s="448">
        <f>huishoudens!K8</f>
        <v>0</v>
      </c>
      <c r="L4" s="448">
        <f>huishoudens!L8</f>
        <v>0</v>
      </c>
      <c r="M4" s="448">
        <f>huishoudens!M8</f>
        <v>0</v>
      </c>
      <c r="N4" s="448">
        <f>huishoudens!N8</f>
        <v>7364.3796757132404</v>
      </c>
      <c r="O4" s="448">
        <f>huishoudens!O8</f>
        <v>168.63644864789771</v>
      </c>
      <c r="P4" s="449">
        <f>huishoudens!P8</f>
        <v>31.601877923055071</v>
      </c>
      <c r="Q4" s="450">
        <f>SUM(B4:P4)</f>
        <v>102569.85958225629</v>
      </c>
    </row>
    <row r="5" spans="1:17">
      <c r="A5" s="447" t="s">
        <v>155</v>
      </c>
      <c r="B5" s="448">
        <f ca="1">tertiair!B16</f>
        <v>12924.346118999998</v>
      </c>
      <c r="C5" s="448">
        <f ca="1">tertiair!C16</f>
        <v>0</v>
      </c>
      <c r="D5" s="448">
        <f ca="1">tertiair!D16</f>
        <v>24139.957134546003</v>
      </c>
      <c r="E5" s="448">
        <f>tertiair!E16</f>
        <v>180.43273646019605</v>
      </c>
      <c r="F5" s="448">
        <f ca="1">tertiair!F16</f>
        <v>1510.8446842807257</v>
      </c>
      <c r="G5" s="448">
        <f>tertiair!G16</f>
        <v>0</v>
      </c>
      <c r="H5" s="448">
        <f>tertiair!H16</f>
        <v>0</v>
      </c>
      <c r="I5" s="448">
        <f>tertiair!I16</f>
        <v>0</v>
      </c>
      <c r="J5" s="448">
        <f>tertiair!J16</f>
        <v>3.3689782419639956E-2</v>
      </c>
      <c r="K5" s="448">
        <f>tertiair!K16</f>
        <v>0</v>
      </c>
      <c r="L5" s="448">
        <f ca="1">tertiair!L16</f>
        <v>0</v>
      </c>
      <c r="M5" s="448">
        <f>tertiair!M16</f>
        <v>0</v>
      </c>
      <c r="N5" s="448">
        <f ca="1">tertiair!N16</f>
        <v>1320.3947018333365</v>
      </c>
      <c r="O5" s="448">
        <f>tertiair!O16</f>
        <v>14.691782297523464</v>
      </c>
      <c r="P5" s="449">
        <f>tertiair!P16</f>
        <v>0</v>
      </c>
      <c r="Q5" s="447">
        <f t="shared" ref="Q5:Q14" ca="1" si="0">SUM(B5:P5)</f>
        <v>40090.700848200198</v>
      </c>
    </row>
    <row r="6" spans="1:17">
      <c r="A6" s="447" t="s">
        <v>193</v>
      </c>
      <c r="B6" s="448">
        <f>'openbare verlichting'!B8</f>
        <v>718.38300000000004</v>
      </c>
      <c r="C6" s="448"/>
      <c r="D6" s="448"/>
      <c r="E6" s="448"/>
      <c r="F6" s="448"/>
      <c r="G6" s="448"/>
      <c r="H6" s="448"/>
      <c r="I6" s="448"/>
      <c r="J6" s="448"/>
      <c r="K6" s="448"/>
      <c r="L6" s="448"/>
      <c r="M6" s="448"/>
      <c r="N6" s="448"/>
      <c r="O6" s="448"/>
      <c r="P6" s="449"/>
      <c r="Q6" s="447">
        <f t="shared" si="0"/>
        <v>718.38300000000004</v>
      </c>
    </row>
    <row r="7" spans="1:17">
      <c r="A7" s="447" t="s">
        <v>111</v>
      </c>
      <c r="B7" s="448">
        <f>landbouw!B8</f>
        <v>241.85848000000001</v>
      </c>
      <c r="C7" s="448">
        <f>landbouw!C8</f>
        <v>0</v>
      </c>
      <c r="D7" s="448">
        <f>landbouw!D8</f>
        <v>60.146262</v>
      </c>
      <c r="E7" s="448">
        <f>landbouw!E8</f>
        <v>7.5483234057125124</v>
      </c>
      <c r="F7" s="448">
        <f>landbouw!F8</f>
        <v>854.75466067966374</v>
      </c>
      <c r="G7" s="448">
        <f>landbouw!G8</f>
        <v>0</v>
      </c>
      <c r="H7" s="448">
        <f>landbouw!H8</f>
        <v>0</v>
      </c>
      <c r="I7" s="448">
        <f>landbouw!I8</f>
        <v>0</v>
      </c>
      <c r="J7" s="448">
        <f>landbouw!J8</f>
        <v>66.633688513859283</v>
      </c>
      <c r="K7" s="448">
        <f>landbouw!K8</f>
        <v>0</v>
      </c>
      <c r="L7" s="448">
        <f>landbouw!L8</f>
        <v>0</v>
      </c>
      <c r="M7" s="448">
        <f>landbouw!M8</f>
        <v>0</v>
      </c>
      <c r="N7" s="448">
        <f>landbouw!N8</f>
        <v>0</v>
      </c>
      <c r="O7" s="448">
        <f>landbouw!O8</f>
        <v>0</v>
      </c>
      <c r="P7" s="449">
        <f>landbouw!P8</f>
        <v>0</v>
      </c>
      <c r="Q7" s="447">
        <f t="shared" si="0"/>
        <v>1230.9414145992355</v>
      </c>
    </row>
    <row r="8" spans="1:17">
      <c r="A8" s="447" t="s">
        <v>618</v>
      </c>
      <c r="B8" s="448">
        <f>industrie!B18</f>
        <v>40726.146173000008</v>
      </c>
      <c r="C8" s="448">
        <f>industrie!C18</f>
        <v>0</v>
      </c>
      <c r="D8" s="448">
        <f>industrie!D18</f>
        <v>143759.76707839998</v>
      </c>
      <c r="E8" s="448">
        <f>industrie!E18</f>
        <v>282.91913586472219</v>
      </c>
      <c r="F8" s="448">
        <f>industrie!F18</f>
        <v>1097.9546629518734</v>
      </c>
      <c r="G8" s="448">
        <f>industrie!G18</f>
        <v>0</v>
      </c>
      <c r="H8" s="448">
        <f>industrie!H18</f>
        <v>0</v>
      </c>
      <c r="I8" s="448">
        <f>industrie!I18</f>
        <v>0</v>
      </c>
      <c r="J8" s="448">
        <f>industrie!J18</f>
        <v>9.0807840861602447</v>
      </c>
      <c r="K8" s="448">
        <f>industrie!K18</f>
        <v>0</v>
      </c>
      <c r="L8" s="448">
        <f>industrie!L18</f>
        <v>0</v>
      </c>
      <c r="M8" s="448">
        <f>industrie!M18</f>
        <v>0</v>
      </c>
      <c r="N8" s="448">
        <f>industrie!N18</f>
        <v>115.44662628635942</v>
      </c>
      <c r="O8" s="448">
        <f>industrie!O18</f>
        <v>0</v>
      </c>
      <c r="P8" s="449">
        <f>industrie!P18</f>
        <v>0</v>
      </c>
      <c r="Q8" s="447">
        <f t="shared" si="0"/>
        <v>185991.31446058911</v>
      </c>
    </row>
    <row r="9" spans="1:17" s="453" customFormat="1">
      <c r="A9" s="451" t="s">
        <v>544</v>
      </c>
      <c r="B9" s="452">
        <f>transport!B14</f>
        <v>107.19551615817205</v>
      </c>
      <c r="C9" s="452">
        <f>transport!C14</f>
        <v>0</v>
      </c>
      <c r="D9" s="452">
        <f>transport!D14</f>
        <v>167.71943745512732</v>
      </c>
      <c r="E9" s="452">
        <f>transport!E14</f>
        <v>159.47429228643259</v>
      </c>
      <c r="F9" s="452">
        <f>transport!F14</f>
        <v>0</v>
      </c>
      <c r="G9" s="452">
        <f>transport!G14</f>
        <v>88223.210007307236</v>
      </c>
      <c r="H9" s="452">
        <f>transport!H14</f>
        <v>15215.741445203288</v>
      </c>
      <c r="I9" s="452">
        <f>transport!I14</f>
        <v>0</v>
      </c>
      <c r="J9" s="452">
        <f>transport!J14</f>
        <v>0</v>
      </c>
      <c r="K9" s="452">
        <f>transport!K14</f>
        <v>0</v>
      </c>
      <c r="L9" s="452">
        <f>transport!L14</f>
        <v>0</v>
      </c>
      <c r="M9" s="452">
        <f>transport!M14</f>
        <v>6092.7754539470316</v>
      </c>
      <c r="N9" s="452">
        <f>transport!N14</f>
        <v>0</v>
      </c>
      <c r="O9" s="452">
        <f>transport!O14</f>
        <v>0</v>
      </c>
      <c r="P9" s="452">
        <f>transport!P14</f>
        <v>0</v>
      </c>
      <c r="Q9" s="451">
        <f>SUM(B9:P9)</f>
        <v>109966.11615235728</v>
      </c>
    </row>
    <row r="10" spans="1:17">
      <c r="A10" s="447" t="s">
        <v>534</v>
      </c>
      <c r="B10" s="448">
        <f>transport!B54</f>
        <v>7.6613070146622322</v>
      </c>
      <c r="C10" s="448">
        <f>transport!C54</f>
        <v>0</v>
      </c>
      <c r="D10" s="448">
        <f>transport!D54</f>
        <v>0</v>
      </c>
      <c r="E10" s="448">
        <f>transport!E54</f>
        <v>0</v>
      </c>
      <c r="F10" s="448">
        <f>transport!F54</f>
        <v>0</v>
      </c>
      <c r="G10" s="448">
        <f>transport!G54</f>
        <v>555.07323211566234</v>
      </c>
      <c r="H10" s="448">
        <f>transport!H54</f>
        <v>0</v>
      </c>
      <c r="I10" s="448">
        <f>transport!I54</f>
        <v>0</v>
      </c>
      <c r="J10" s="448">
        <f>transport!J54</f>
        <v>0</v>
      </c>
      <c r="K10" s="448">
        <f>transport!K54</f>
        <v>0</v>
      </c>
      <c r="L10" s="448">
        <f>transport!L54</f>
        <v>0</v>
      </c>
      <c r="M10" s="448">
        <f>transport!M54</f>
        <v>31.39659501712843</v>
      </c>
      <c r="N10" s="448">
        <f>transport!N54</f>
        <v>0</v>
      </c>
      <c r="O10" s="448">
        <f>transport!O54</f>
        <v>0</v>
      </c>
      <c r="P10" s="449">
        <f>transport!P54</f>
        <v>0</v>
      </c>
      <c r="Q10" s="447">
        <f t="shared" si="0"/>
        <v>594.13113414745305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825.88569999999993</v>
      </c>
      <c r="C14" s="455"/>
      <c r="D14" s="455">
        <f>'SEAP template'!E25</f>
        <v>2473.2685999999999</v>
      </c>
      <c r="E14" s="455"/>
      <c r="F14" s="455"/>
      <c r="G14" s="455"/>
      <c r="H14" s="455"/>
      <c r="I14" s="455"/>
      <c r="J14" s="455"/>
      <c r="K14" s="455"/>
      <c r="L14" s="455"/>
      <c r="M14" s="455"/>
      <c r="N14" s="455"/>
      <c r="O14" s="455"/>
      <c r="P14" s="456"/>
      <c r="Q14" s="447">
        <f t="shared" si="0"/>
        <v>3299.1542999999997</v>
      </c>
    </row>
    <row r="15" spans="1:17" s="459" customFormat="1">
      <c r="A15" s="457" t="s">
        <v>538</v>
      </c>
      <c r="B15" s="458">
        <f ca="1">SUM(B4:B14)</f>
        <v>75299.192405497408</v>
      </c>
      <c r="C15" s="458">
        <f t="shared" ref="C15:Q15" ca="1" si="1">SUM(C4:C14)</f>
        <v>0</v>
      </c>
      <c r="D15" s="458">
        <f t="shared" ca="1" si="1"/>
        <v>217855.74814820109</v>
      </c>
      <c r="E15" s="458">
        <f t="shared" si="1"/>
        <v>2259.7859079008731</v>
      </c>
      <c r="F15" s="458">
        <f t="shared" ca="1" si="1"/>
        <v>29731.83778630153</v>
      </c>
      <c r="G15" s="458">
        <f t="shared" si="1"/>
        <v>88778.283239422904</v>
      </c>
      <c r="H15" s="458">
        <f t="shared" si="1"/>
        <v>15215.741445203288</v>
      </c>
      <c r="I15" s="458">
        <f t="shared" si="1"/>
        <v>0</v>
      </c>
      <c r="J15" s="458">
        <f t="shared" si="1"/>
        <v>180.68879795688292</v>
      </c>
      <c r="K15" s="458">
        <f t="shared" si="1"/>
        <v>0</v>
      </c>
      <c r="L15" s="458">
        <f t="shared" ca="1" si="1"/>
        <v>0</v>
      </c>
      <c r="M15" s="458">
        <f t="shared" si="1"/>
        <v>6124.1720489641602</v>
      </c>
      <c r="N15" s="458">
        <f t="shared" ca="1" si="1"/>
        <v>8800.2210038329358</v>
      </c>
      <c r="O15" s="458">
        <f t="shared" si="1"/>
        <v>183.32823094542118</v>
      </c>
      <c r="P15" s="458">
        <f t="shared" si="1"/>
        <v>31.601877923055071</v>
      </c>
      <c r="Q15" s="458">
        <f t="shared" ca="1" si="1"/>
        <v>444460.60089214961</v>
      </c>
    </row>
    <row r="17" spans="1:17">
      <c r="A17" s="460" t="s">
        <v>539</v>
      </c>
      <c r="B17" s="776">
        <f ca="1">huishoudens!B10</f>
        <v>0.1023511406267941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2021.2012686658375</v>
      </c>
      <c r="C22" s="448">
        <f t="shared" ref="C22:C32" ca="1" si="3">C4*$C$17</f>
        <v>0</v>
      </c>
      <c r="D22" s="448">
        <f t="shared" ref="D22:D32" si="4">D4*$D$17</f>
        <v>9545.4877064316024</v>
      </c>
      <c r="E22" s="448">
        <f t="shared" ref="E22:E32" si="5">E4*$E$17</f>
        <v>369.87639231362482</v>
      </c>
      <c r="F22" s="448">
        <f t="shared" ref="F22:F32" si="6">F4*$F$17</f>
        <v>7013.631768829935</v>
      </c>
      <c r="G22" s="448">
        <f t="shared" ref="G22:G32" si="7">G4*$G$17</f>
        <v>0</v>
      </c>
      <c r="H22" s="448">
        <f t="shared" ref="H22:H32" si="8">H4*$H$17</f>
        <v>0</v>
      </c>
      <c r="I22" s="448">
        <f t="shared" ref="I22:I32" si="9">I4*$I$17</f>
        <v>0</v>
      </c>
      <c r="J22" s="448">
        <f t="shared" ref="J22:J32" si="10">J4*$J$17</f>
        <v>37.148984993353082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18987.346121234354</v>
      </c>
    </row>
    <row r="23" spans="1:17">
      <c r="A23" s="447" t="s">
        <v>155</v>
      </c>
      <c r="B23" s="448">
        <f t="shared" ca="1" si="2"/>
        <v>1322.8215671351293</v>
      </c>
      <c r="C23" s="448">
        <f t="shared" ca="1" si="3"/>
        <v>0</v>
      </c>
      <c r="D23" s="448">
        <f t="shared" ca="1" si="4"/>
        <v>4876.2713411782925</v>
      </c>
      <c r="E23" s="448">
        <f t="shared" si="5"/>
        <v>40.958231176464508</v>
      </c>
      <c r="F23" s="448">
        <f t="shared" ca="1" si="6"/>
        <v>403.39553070295381</v>
      </c>
      <c r="G23" s="448">
        <f t="shared" si="7"/>
        <v>0</v>
      </c>
      <c r="H23" s="448">
        <f t="shared" si="8"/>
        <v>0</v>
      </c>
      <c r="I23" s="448">
        <f t="shared" si="9"/>
        <v>0</v>
      </c>
      <c r="J23" s="448">
        <f t="shared" si="10"/>
        <v>1.1926182976552544E-2</v>
      </c>
      <c r="K23" s="448">
        <f t="shared" si="11"/>
        <v>0</v>
      </c>
      <c r="L23" s="448">
        <f t="shared" ca="1" si="12"/>
        <v>0</v>
      </c>
      <c r="M23" s="448">
        <f t="shared" si="13"/>
        <v>0</v>
      </c>
      <c r="N23" s="448">
        <f t="shared" ca="1" si="14"/>
        <v>0</v>
      </c>
      <c r="O23" s="448">
        <f t="shared" si="15"/>
        <v>0</v>
      </c>
      <c r="P23" s="449">
        <f t="shared" si="16"/>
        <v>0</v>
      </c>
      <c r="Q23" s="447">
        <f t="shared" ref="Q23:Q31" ca="1" si="17">SUM(B23:P23)</f>
        <v>6643.4585963758163</v>
      </c>
    </row>
    <row r="24" spans="1:17">
      <c r="A24" s="447" t="s">
        <v>193</v>
      </c>
      <c r="B24" s="448">
        <f t="shared" ca="1" si="2"/>
        <v>73.527319456898226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73.527319456898226</v>
      </c>
    </row>
    <row r="25" spans="1:17">
      <c r="A25" s="447" t="s">
        <v>111</v>
      </c>
      <c r="B25" s="448">
        <f t="shared" ca="1" si="2"/>
        <v>24.754491298262668</v>
      </c>
      <c r="C25" s="448">
        <f t="shared" ca="1" si="3"/>
        <v>0</v>
      </c>
      <c r="D25" s="448">
        <f t="shared" si="4"/>
        <v>12.149544924000001</v>
      </c>
      <c r="E25" s="448">
        <f t="shared" si="5"/>
        <v>1.7134694130967403</v>
      </c>
      <c r="F25" s="448">
        <f t="shared" si="6"/>
        <v>228.21949440147023</v>
      </c>
      <c r="G25" s="448">
        <f t="shared" si="7"/>
        <v>0</v>
      </c>
      <c r="H25" s="448">
        <f t="shared" si="8"/>
        <v>0</v>
      </c>
      <c r="I25" s="448">
        <f t="shared" si="9"/>
        <v>0</v>
      </c>
      <c r="J25" s="448">
        <f t="shared" si="10"/>
        <v>23.588325733906185</v>
      </c>
      <c r="K25" s="448">
        <f t="shared" si="11"/>
        <v>0</v>
      </c>
      <c r="L25" s="448">
        <f t="shared" si="12"/>
        <v>0</v>
      </c>
      <c r="M25" s="448">
        <f t="shared" si="13"/>
        <v>0</v>
      </c>
      <c r="N25" s="448">
        <f t="shared" si="14"/>
        <v>0</v>
      </c>
      <c r="O25" s="448">
        <f t="shared" si="15"/>
        <v>0</v>
      </c>
      <c r="P25" s="449">
        <f t="shared" si="16"/>
        <v>0</v>
      </c>
      <c r="Q25" s="447">
        <f t="shared" ca="1" si="17"/>
        <v>290.42532577073581</v>
      </c>
    </row>
    <row r="26" spans="1:17">
      <c r="A26" s="447" t="s">
        <v>618</v>
      </c>
      <c r="B26" s="448">
        <f t="shared" ca="1" si="2"/>
        <v>4168.3675141400963</v>
      </c>
      <c r="C26" s="448">
        <f t="shared" ca="1" si="3"/>
        <v>0</v>
      </c>
      <c r="D26" s="448">
        <f t="shared" si="4"/>
        <v>29039.472949836796</v>
      </c>
      <c r="E26" s="448">
        <f t="shared" si="5"/>
        <v>64.222643841291941</v>
      </c>
      <c r="F26" s="448">
        <f t="shared" si="6"/>
        <v>293.15389500815019</v>
      </c>
      <c r="G26" s="448">
        <f t="shared" si="7"/>
        <v>0</v>
      </c>
      <c r="H26" s="448">
        <f t="shared" si="8"/>
        <v>0</v>
      </c>
      <c r="I26" s="448">
        <f t="shared" si="9"/>
        <v>0</v>
      </c>
      <c r="J26" s="448">
        <f t="shared" si="10"/>
        <v>3.2145975665007263</v>
      </c>
      <c r="K26" s="448">
        <f t="shared" si="11"/>
        <v>0</v>
      </c>
      <c r="L26" s="448">
        <f t="shared" si="12"/>
        <v>0</v>
      </c>
      <c r="M26" s="448">
        <f t="shared" si="13"/>
        <v>0</v>
      </c>
      <c r="N26" s="448">
        <f t="shared" si="14"/>
        <v>0</v>
      </c>
      <c r="O26" s="448">
        <f t="shared" si="15"/>
        <v>0</v>
      </c>
      <c r="P26" s="449">
        <f t="shared" si="16"/>
        <v>0</v>
      </c>
      <c r="Q26" s="447">
        <f t="shared" ca="1" si="17"/>
        <v>33568.431600392832</v>
      </c>
    </row>
    <row r="27" spans="1:17" s="453" customFormat="1">
      <c r="A27" s="451" t="s">
        <v>544</v>
      </c>
      <c r="B27" s="770">
        <f t="shared" ca="1" si="2"/>
        <v>10.971583348866847</v>
      </c>
      <c r="C27" s="452">
        <f t="shared" ca="1" si="3"/>
        <v>0</v>
      </c>
      <c r="D27" s="452">
        <f t="shared" si="4"/>
        <v>33.879326365935718</v>
      </c>
      <c r="E27" s="452">
        <f t="shared" si="5"/>
        <v>36.200664349020201</v>
      </c>
      <c r="F27" s="452">
        <f t="shared" si="6"/>
        <v>0</v>
      </c>
      <c r="G27" s="452">
        <f t="shared" si="7"/>
        <v>23555.597071951033</v>
      </c>
      <c r="H27" s="452">
        <f t="shared" si="8"/>
        <v>3788.7196198556189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27425.368265870475</v>
      </c>
    </row>
    <row r="28" spans="1:17" ht="16.5" customHeight="1">
      <c r="A28" s="447" t="s">
        <v>534</v>
      </c>
      <c r="B28" s="448">
        <f t="shared" ca="1" si="2"/>
        <v>0.78414351164273821</v>
      </c>
      <c r="C28" s="448">
        <f t="shared" ca="1" si="3"/>
        <v>0</v>
      </c>
      <c r="D28" s="448">
        <f t="shared" si="4"/>
        <v>0</v>
      </c>
      <c r="E28" s="448">
        <f t="shared" si="5"/>
        <v>0</v>
      </c>
      <c r="F28" s="448">
        <f t="shared" si="6"/>
        <v>0</v>
      </c>
      <c r="G28" s="448">
        <f t="shared" si="7"/>
        <v>148.20455297488186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148.98869648652459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84.530343422358271</v>
      </c>
      <c r="C32" s="448">
        <f t="shared" ca="1" si="3"/>
        <v>0</v>
      </c>
      <c r="D32" s="448">
        <f t="shared" si="4"/>
        <v>499.60025719999999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584.13060062235832</v>
      </c>
    </row>
    <row r="33" spans="1:17" s="459" customFormat="1">
      <c r="A33" s="457" t="s">
        <v>538</v>
      </c>
      <c r="B33" s="458">
        <f ca="1">SUM(B22:B32)</f>
        <v>7706.9582309790912</v>
      </c>
      <c r="C33" s="458">
        <f t="shared" ref="C33:Q33" ca="1" si="19">SUM(C22:C32)</f>
        <v>0</v>
      </c>
      <c r="D33" s="458">
        <f t="shared" ca="1" si="19"/>
        <v>44006.86112593663</v>
      </c>
      <c r="E33" s="458">
        <f t="shared" si="19"/>
        <v>512.97140109349812</v>
      </c>
      <c r="F33" s="458">
        <f t="shared" ca="1" si="19"/>
        <v>7938.4006889425091</v>
      </c>
      <c r="G33" s="458">
        <f t="shared" si="19"/>
        <v>23703.801624925916</v>
      </c>
      <c r="H33" s="458">
        <f t="shared" si="19"/>
        <v>3788.7196198556189</v>
      </c>
      <c r="I33" s="458">
        <f t="shared" si="19"/>
        <v>0</v>
      </c>
      <c r="J33" s="458">
        <f t="shared" si="19"/>
        <v>63.963834476736551</v>
      </c>
      <c r="K33" s="458">
        <f t="shared" si="19"/>
        <v>0</v>
      </c>
      <c r="L33" s="458">
        <f t="shared" ca="1" si="19"/>
        <v>0</v>
      </c>
      <c r="M33" s="458">
        <f t="shared" si="19"/>
        <v>0</v>
      </c>
      <c r="N33" s="458">
        <f t="shared" ca="1" si="19"/>
        <v>0</v>
      </c>
      <c r="O33" s="458">
        <f t="shared" si="19"/>
        <v>0</v>
      </c>
      <c r="P33" s="458">
        <f t="shared" si="19"/>
        <v>0</v>
      </c>
      <c r="Q33" s="458">
        <f t="shared" ca="1" si="19"/>
        <v>87721.676526209994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30513.202782287866</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9912.8754558833371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40426.078238171205</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0.1023511406267941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0.1023511406267941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0.1023511406267941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0.1023511406267941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5427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462.2</v>
      </c>
      <c r="C14" s="326"/>
      <c r="D14" s="326"/>
      <c r="E14" s="326"/>
      <c r="F14" s="326"/>
    </row>
    <row r="15" spans="1:6">
      <c r="A15" s="1298" t="s">
        <v>183</v>
      </c>
      <c r="B15" s="1299">
        <v>3</v>
      </c>
      <c r="C15" s="326"/>
      <c r="D15" s="326"/>
      <c r="E15" s="326"/>
      <c r="F15" s="326"/>
    </row>
    <row r="16" spans="1:6">
      <c r="A16" s="1298" t="s">
        <v>6</v>
      </c>
      <c r="B16" s="1299">
        <v>101</v>
      </c>
      <c r="C16" s="326"/>
      <c r="D16" s="326"/>
      <c r="E16" s="326"/>
      <c r="F16" s="326"/>
    </row>
    <row r="17" spans="1:6">
      <c r="A17" s="1298" t="s">
        <v>7</v>
      </c>
      <c r="B17" s="1299">
        <v>23</v>
      </c>
      <c r="C17" s="326"/>
      <c r="D17" s="326"/>
      <c r="E17" s="326"/>
      <c r="F17" s="326"/>
    </row>
    <row r="18" spans="1:6">
      <c r="A18" s="1298" t="s">
        <v>8</v>
      </c>
      <c r="B18" s="1299">
        <v>116</v>
      </c>
      <c r="C18" s="326"/>
      <c r="D18" s="326"/>
      <c r="E18" s="326"/>
      <c r="F18" s="326"/>
    </row>
    <row r="19" spans="1:6">
      <c r="A19" s="1298" t="s">
        <v>9</v>
      </c>
      <c r="B19" s="1299">
        <v>120</v>
      </c>
      <c r="C19" s="326"/>
      <c r="D19" s="326"/>
      <c r="E19" s="326"/>
      <c r="F19" s="326"/>
    </row>
    <row r="20" spans="1:6">
      <c r="A20" s="1298" t="s">
        <v>10</v>
      </c>
      <c r="B20" s="1299">
        <v>54</v>
      </c>
      <c r="C20" s="326"/>
      <c r="D20" s="326"/>
      <c r="E20" s="326"/>
      <c r="F20" s="326"/>
    </row>
    <row r="21" spans="1:6">
      <c r="A21" s="1298" t="s">
        <v>11</v>
      </c>
      <c r="B21" s="1299">
        <v>0</v>
      </c>
      <c r="C21" s="326"/>
      <c r="D21" s="326"/>
      <c r="E21" s="326"/>
      <c r="F21" s="326"/>
    </row>
    <row r="22" spans="1:6">
      <c r="A22" s="1298" t="s">
        <v>12</v>
      </c>
      <c r="B22" s="1299">
        <v>520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31512</v>
      </c>
      <c r="C28" s="332"/>
      <c r="D28" s="332"/>
      <c r="E28" s="332"/>
      <c r="F28" s="332"/>
    </row>
    <row r="29" spans="1:6">
      <c r="A29" s="1300" t="s">
        <v>695</v>
      </c>
      <c r="B29" s="1301">
        <v>0</v>
      </c>
      <c r="C29" s="332"/>
      <c r="D29" s="332"/>
      <c r="E29" s="332"/>
      <c r="F29" s="332"/>
    </row>
    <row r="30" spans="1:6">
      <c r="A30" s="1293" t="s">
        <v>696</v>
      </c>
      <c r="B30" s="1302">
        <v>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113216</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25579</v>
      </c>
      <c r="E38" s="1299">
        <v>2</v>
      </c>
      <c r="F38" s="1299">
        <v>138880</v>
      </c>
    </row>
    <row r="39" spans="1:6">
      <c r="A39" s="1298" t="s">
        <v>29</v>
      </c>
      <c r="B39" s="1298" t="s">
        <v>30</v>
      </c>
      <c r="C39" s="1299">
        <v>3721</v>
      </c>
      <c r="D39" s="1299">
        <v>52389012.899999999</v>
      </c>
      <c r="E39" s="1299">
        <v>5508</v>
      </c>
      <c r="F39" s="1299">
        <v>17974676.100000001</v>
      </c>
    </row>
    <row r="40" spans="1:6">
      <c r="A40" s="1298" t="s">
        <v>29</v>
      </c>
      <c r="B40" s="1298" t="s">
        <v>28</v>
      </c>
      <c r="C40" s="1299">
        <v>0</v>
      </c>
      <c r="D40" s="1299">
        <v>0</v>
      </c>
      <c r="E40" s="1299">
        <v>0</v>
      </c>
      <c r="F40" s="1299">
        <v>0</v>
      </c>
    </row>
    <row r="41" spans="1:6">
      <c r="A41" s="1298" t="s">
        <v>31</v>
      </c>
      <c r="B41" s="1298" t="s">
        <v>32</v>
      </c>
      <c r="C41" s="1299">
        <v>36</v>
      </c>
      <c r="D41" s="1299">
        <v>641814.19999999995</v>
      </c>
      <c r="E41" s="1299">
        <v>79</v>
      </c>
      <c r="F41" s="1299">
        <v>689289.25</v>
      </c>
    </row>
    <row r="42" spans="1:6">
      <c r="A42" s="1298" t="s">
        <v>31</v>
      </c>
      <c r="B42" s="1298" t="s">
        <v>33</v>
      </c>
      <c r="C42" s="1299">
        <v>0</v>
      </c>
      <c r="D42" s="1299">
        <v>0</v>
      </c>
      <c r="E42" s="1299">
        <v>3</v>
      </c>
      <c r="F42" s="1299">
        <v>38973497</v>
      </c>
    </row>
    <row r="43" spans="1:6">
      <c r="A43" s="1298" t="s">
        <v>31</v>
      </c>
      <c r="B43" s="1298" t="s">
        <v>34</v>
      </c>
      <c r="C43" s="1299">
        <v>0</v>
      </c>
      <c r="D43" s="1299">
        <v>0</v>
      </c>
      <c r="E43" s="1299">
        <v>0</v>
      </c>
      <c r="F43" s="1299">
        <v>0</v>
      </c>
    </row>
    <row r="44" spans="1:6">
      <c r="A44" s="1298" t="s">
        <v>31</v>
      </c>
      <c r="B44" s="1298" t="s">
        <v>35</v>
      </c>
      <c r="C44" s="1299">
        <v>14</v>
      </c>
      <c r="D44" s="1299">
        <v>257719</v>
      </c>
      <c r="E44" s="1299">
        <v>29</v>
      </c>
      <c r="F44" s="1299">
        <v>286059.92300000001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5</v>
      </c>
      <c r="F47" s="1299">
        <v>79804</v>
      </c>
    </row>
    <row r="48" spans="1:6">
      <c r="A48" s="1298" t="s">
        <v>31</v>
      </c>
      <c r="B48" s="1298" t="s">
        <v>28</v>
      </c>
      <c r="C48" s="1299">
        <v>3</v>
      </c>
      <c r="D48" s="1299">
        <v>157859175</v>
      </c>
      <c r="E48" s="1299">
        <v>3</v>
      </c>
      <c r="F48" s="1299">
        <v>7512</v>
      </c>
    </row>
    <row r="49" spans="1:6">
      <c r="A49" s="1298" t="s">
        <v>31</v>
      </c>
      <c r="B49" s="1298" t="s">
        <v>39</v>
      </c>
      <c r="C49" s="1299">
        <v>0</v>
      </c>
      <c r="D49" s="1299">
        <v>0</v>
      </c>
      <c r="E49" s="1299">
        <v>0</v>
      </c>
      <c r="F49" s="1299">
        <v>0</v>
      </c>
    </row>
    <row r="50" spans="1:6">
      <c r="A50" s="1298" t="s">
        <v>31</v>
      </c>
      <c r="B50" s="1298" t="s">
        <v>40</v>
      </c>
      <c r="C50" s="1299">
        <v>8</v>
      </c>
      <c r="D50" s="1299">
        <v>620191</v>
      </c>
      <c r="E50" s="1299">
        <v>12</v>
      </c>
      <c r="F50" s="1299">
        <v>689984</v>
      </c>
    </row>
    <row r="51" spans="1:6">
      <c r="A51" s="1298" t="s">
        <v>41</v>
      </c>
      <c r="B51" s="1298" t="s">
        <v>42</v>
      </c>
      <c r="C51" s="1299">
        <v>4</v>
      </c>
      <c r="D51" s="1299">
        <v>66681</v>
      </c>
      <c r="E51" s="1299">
        <v>28</v>
      </c>
      <c r="F51" s="1299">
        <v>241858.48</v>
      </c>
    </row>
    <row r="52" spans="1:6">
      <c r="A52" s="1298" t="s">
        <v>41</v>
      </c>
      <c r="B52" s="1298" t="s">
        <v>28</v>
      </c>
      <c r="C52" s="1299">
        <v>0</v>
      </c>
      <c r="D52" s="1299">
        <v>0</v>
      </c>
      <c r="E52" s="1299">
        <v>0</v>
      </c>
      <c r="F52" s="1299">
        <v>0</v>
      </c>
    </row>
    <row r="53" spans="1:6">
      <c r="A53" s="1298" t="s">
        <v>43</v>
      </c>
      <c r="B53" s="1298" t="s">
        <v>44</v>
      </c>
      <c r="C53" s="1299">
        <v>56</v>
      </c>
      <c r="D53" s="1299">
        <v>2473268.6</v>
      </c>
      <c r="E53" s="1299">
        <v>123</v>
      </c>
      <c r="F53" s="1299">
        <v>825885.7</v>
      </c>
    </row>
    <row r="54" spans="1:6">
      <c r="A54" s="1298" t="s">
        <v>45</v>
      </c>
      <c r="B54" s="1298" t="s">
        <v>46</v>
      </c>
      <c r="C54" s="1299">
        <v>0</v>
      </c>
      <c r="D54" s="1299">
        <v>0</v>
      </c>
      <c r="E54" s="1299">
        <v>1</v>
      </c>
      <c r="F54" s="1299">
        <v>718383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45</v>
      </c>
      <c r="D57" s="1299">
        <v>3812376.2050000001</v>
      </c>
      <c r="E57" s="1299">
        <v>86</v>
      </c>
      <c r="F57" s="1299">
        <v>1984547.2439999999</v>
      </c>
    </row>
    <row r="58" spans="1:6">
      <c r="A58" s="1298" t="s">
        <v>48</v>
      </c>
      <c r="B58" s="1298" t="s">
        <v>50</v>
      </c>
      <c r="C58" s="1299">
        <v>38</v>
      </c>
      <c r="D58" s="1299">
        <v>1054051</v>
      </c>
      <c r="E58" s="1299">
        <v>55</v>
      </c>
      <c r="F58" s="1299">
        <v>408077</v>
      </c>
    </row>
    <row r="59" spans="1:6">
      <c r="A59" s="1298" t="s">
        <v>48</v>
      </c>
      <c r="B59" s="1298" t="s">
        <v>51</v>
      </c>
      <c r="C59" s="1299">
        <v>72</v>
      </c>
      <c r="D59" s="1299">
        <v>3329445.7</v>
      </c>
      <c r="E59" s="1299">
        <v>146</v>
      </c>
      <c r="F59" s="1299">
        <v>4151139.65</v>
      </c>
    </row>
    <row r="60" spans="1:6">
      <c r="A60" s="1298" t="s">
        <v>48</v>
      </c>
      <c r="B60" s="1298" t="s">
        <v>52</v>
      </c>
      <c r="C60" s="1299">
        <v>81</v>
      </c>
      <c r="D60" s="1299">
        <v>10717271.618000001</v>
      </c>
      <c r="E60" s="1299">
        <v>99</v>
      </c>
      <c r="F60" s="1299">
        <v>3254464.95</v>
      </c>
    </row>
    <row r="61" spans="1:6">
      <c r="A61" s="1298" t="s">
        <v>48</v>
      </c>
      <c r="B61" s="1298" t="s">
        <v>53</v>
      </c>
      <c r="C61" s="1299">
        <v>120</v>
      </c>
      <c r="D61" s="1299">
        <v>6510676.4000000004</v>
      </c>
      <c r="E61" s="1299">
        <v>289</v>
      </c>
      <c r="F61" s="1299">
        <v>2833739.352</v>
      </c>
    </row>
    <row r="62" spans="1:6">
      <c r="A62" s="1298" t="s">
        <v>48</v>
      </c>
      <c r="B62" s="1298" t="s">
        <v>54</v>
      </c>
      <c r="C62" s="1299">
        <v>5</v>
      </c>
      <c r="D62" s="1299">
        <v>1338881</v>
      </c>
      <c r="E62" s="1299">
        <v>8</v>
      </c>
      <c r="F62" s="1299">
        <v>292377.92300000001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35987</v>
      </c>
      <c r="E65" s="1299">
        <v>2</v>
      </c>
      <c r="F65" s="1299">
        <v>22576</v>
      </c>
    </row>
    <row r="66" spans="1:6">
      <c r="A66" s="1298" t="s">
        <v>55</v>
      </c>
      <c r="B66" s="1298" t="s">
        <v>57</v>
      </c>
      <c r="C66" s="1299">
        <v>0</v>
      </c>
      <c r="D66" s="1299">
        <v>0</v>
      </c>
      <c r="E66" s="1299">
        <v>15</v>
      </c>
      <c r="F66" s="1299">
        <v>3564695.2310000001</v>
      </c>
    </row>
    <row r="67" spans="1:6">
      <c r="A67" s="1300" t="s">
        <v>55</v>
      </c>
      <c r="B67" s="1300" t="s">
        <v>58</v>
      </c>
      <c r="C67" s="1299">
        <v>0</v>
      </c>
      <c r="D67" s="1299">
        <v>0</v>
      </c>
      <c r="E67" s="1299">
        <v>0</v>
      </c>
      <c r="F67" s="1299">
        <v>0</v>
      </c>
    </row>
    <row r="68" spans="1:6">
      <c r="A68" s="1293" t="s">
        <v>55</v>
      </c>
      <c r="B68" s="1293" t="s">
        <v>59</v>
      </c>
      <c r="C68" s="1302">
        <v>5</v>
      </c>
      <c r="D68" s="1302">
        <v>109805</v>
      </c>
      <c r="E68" s="1302">
        <v>11</v>
      </c>
      <c r="F68" s="1302">
        <v>76218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48169460</v>
      </c>
      <c r="E73" s="446"/>
      <c r="F73" s="326"/>
    </row>
    <row r="74" spans="1:6">
      <c r="A74" s="1298" t="s">
        <v>63</v>
      </c>
      <c r="B74" s="1298" t="s">
        <v>639</v>
      </c>
      <c r="C74" s="1312" t="s">
        <v>641</v>
      </c>
      <c r="D74" s="1313">
        <v>7182130</v>
      </c>
      <c r="E74" s="446"/>
      <c r="F74" s="326"/>
    </row>
    <row r="75" spans="1:6">
      <c r="A75" s="1298" t="s">
        <v>64</v>
      </c>
      <c r="B75" s="1298" t="s">
        <v>638</v>
      </c>
      <c r="C75" s="1312" t="s">
        <v>642</v>
      </c>
      <c r="D75" s="1313">
        <v>9234586</v>
      </c>
      <c r="E75" s="446"/>
      <c r="F75" s="326"/>
    </row>
    <row r="76" spans="1:6">
      <c r="A76" s="1298" t="s">
        <v>64</v>
      </c>
      <c r="B76" s="1298" t="s">
        <v>639</v>
      </c>
      <c r="C76" s="1312" t="s">
        <v>643</v>
      </c>
      <c r="D76" s="1313">
        <v>77694</v>
      </c>
      <c r="E76" s="446"/>
      <c r="F76" s="326"/>
    </row>
    <row r="77" spans="1:6">
      <c r="A77" s="1298" t="s">
        <v>65</v>
      </c>
      <c r="B77" s="1298" t="s">
        <v>638</v>
      </c>
      <c r="C77" s="1312" t="s">
        <v>644</v>
      </c>
      <c r="D77" s="1313">
        <v>46180351</v>
      </c>
      <c r="E77" s="446"/>
      <c r="F77" s="326"/>
    </row>
    <row r="78" spans="1:6">
      <c r="A78" s="1293" t="s">
        <v>65</v>
      </c>
      <c r="B78" s="1293" t="s">
        <v>639</v>
      </c>
      <c r="C78" s="1293" t="s">
        <v>645</v>
      </c>
      <c r="D78" s="1314">
        <v>8709351</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162804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30513.202782287866</v>
      </c>
      <c r="C90" s="326"/>
      <c r="D90" s="326"/>
      <c r="E90" s="326"/>
      <c r="F90" s="326"/>
    </row>
    <row r="91" spans="1:6">
      <c r="A91" s="1298" t="s">
        <v>67</v>
      </c>
      <c r="B91" s="1299">
        <v>1773.0400103245697</v>
      </c>
      <c r="C91" s="326"/>
      <c r="D91" s="326"/>
      <c r="E91" s="326"/>
      <c r="F91" s="326"/>
    </row>
    <row r="92" spans="1:6">
      <c r="A92" s="1293" t="s">
        <v>68</v>
      </c>
      <c r="B92" s="1294">
        <v>8139.8354455587669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1564</v>
      </c>
      <c r="C97" s="326"/>
      <c r="D97" s="326"/>
      <c r="E97" s="326"/>
      <c r="F97" s="326"/>
    </row>
    <row r="98" spans="1:6">
      <c r="A98" s="1298" t="s">
        <v>71</v>
      </c>
      <c r="B98" s="1299">
        <v>1</v>
      </c>
      <c r="C98" s="326"/>
      <c r="D98" s="326"/>
      <c r="E98" s="326"/>
      <c r="F98" s="326"/>
    </row>
    <row r="99" spans="1:6">
      <c r="A99" s="1298" t="s">
        <v>72</v>
      </c>
      <c r="B99" s="1299">
        <v>32</v>
      </c>
      <c r="C99" s="326"/>
      <c r="D99" s="326"/>
      <c r="E99" s="326"/>
      <c r="F99" s="326"/>
    </row>
    <row r="100" spans="1:6">
      <c r="A100" s="1298" t="s">
        <v>73</v>
      </c>
      <c r="B100" s="1299">
        <v>384</v>
      </c>
      <c r="C100" s="326"/>
      <c r="D100" s="326"/>
      <c r="E100" s="326"/>
      <c r="F100" s="326"/>
    </row>
    <row r="101" spans="1:6">
      <c r="A101" s="1298" t="s">
        <v>74</v>
      </c>
      <c r="B101" s="1299">
        <v>26</v>
      </c>
      <c r="C101" s="326"/>
      <c r="D101" s="326"/>
      <c r="E101" s="326"/>
      <c r="F101" s="326"/>
    </row>
    <row r="102" spans="1:6">
      <c r="A102" s="1298" t="s">
        <v>75</v>
      </c>
      <c r="B102" s="1299">
        <v>104</v>
      </c>
      <c r="C102" s="326"/>
      <c r="D102" s="326"/>
      <c r="E102" s="326"/>
      <c r="F102" s="326"/>
    </row>
    <row r="103" spans="1:6">
      <c r="A103" s="1298" t="s">
        <v>76</v>
      </c>
      <c r="B103" s="1299">
        <v>207</v>
      </c>
      <c r="C103" s="326"/>
      <c r="D103" s="326"/>
      <c r="E103" s="326"/>
      <c r="F103" s="326"/>
    </row>
    <row r="104" spans="1:6">
      <c r="A104" s="1298" t="s">
        <v>77</v>
      </c>
      <c r="B104" s="1299">
        <v>2809</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v>
      </c>
      <c r="C123" s="1299">
        <v>7</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78</v>
      </c>
      <c r="C129" s="326"/>
      <c r="D129" s="326"/>
      <c r="E129" s="326"/>
      <c r="F129" s="326"/>
    </row>
    <row r="130" spans="1:6">
      <c r="A130" s="1298" t="s">
        <v>289</v>
      </c>
      <c r="B130" s="1299">
        <v>3</v>
      </c>
      <c r="C130" s="326"/>
      <c r="D130" s="326"/>
      <c r="E130" s="326"/>
      <c r="F130" s="326"/>
    </row>
    <row r="131" spans="1:6">
      <c r="A131" s="1298" t="s">
        <v>290</v>
      </c>
      <c r="B131" s="1299">
        <v>0</v>
      </c>
      <c r="C131" s="326"/>
      <c r="D131" s="326"/>
      <c r="E131" s="326"/>
      <c r="F131" s="326"/>
    </row>
    <row r="132" spans="1:6">
      <c r="A132" s="1293" t="s">
        <v>291</v>
      </c>
      <c r="B132" s="1294">
        <v>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75299.192405497408</v>
      </c>
      <c r="C3" s="43" t="s">
        <v>169</v>
      </c>
      <c r="D3" s="43"/>
      <c r="E3" s="154"/>
      <c r="F3" s="43"/>
      <c r="G3" s="43"/>
      <c r="H3" s="43"/>
      <c r="I3" s="43"/>
      <c r="J3" s="43"/>
      <c r="K3" s="96"/>
    </row>
    <row r="4" spans="1:11">
      <c r="A4" s="354" t="s">
        <v>170</v>
      </c>
      <c r="B4" s="49">
        <f>IF(ISERROR('SEAP template'!B78+'SEAP template'!C78),0,'SEAP template'!B78+'SEAP template'!C78)</f>
        <v>40426.078238171205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0.1023511406267941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718.38300000000004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718.38300000000004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0.1023511406267941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73.527319456898226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17974.676100000001</v>
      </c>
      <c r="C5" s="17">
        <f>IF(ISERROR('Eigen informatie GS &amp; warmtenet'!B59),0,'Eigen informatie GS &amp; warmtenet'!B59)</f>
        <v>0</v>
      </c>
      <c r="D5" s="30">
        <f>(SUM(HH_hh_gas_kWh,HH_rest_gas_kWh)/1000)*0.902</f>
        <v>47254.889635800006</v>
      </c>
      <c r="E5" s="17">
        <f>B32*B41</f>
        <v>1629.4114198838097</v>
      </c>
      <c r="F5" s="17">
        <f>B36*B45</f>
        <v>26268.283778389268</v>
      </c>
      <c r="G5" s="18"/>
      <c r="H5" s="17"/>
      <c r="I5" s="17"/>
      <c r="J5" s="17">
        <f>B35*B44+C35*C44</f>
        <v>104.94063557444375</v>
      </c>
      <c r="K5" s="17"/>
      <c r="L5" s="17"/>
      <c r="M5" s="17"/>
      <c r="N5" s="17">
        <f>B34*B43+C34*C43</f>
        <v>7364.3796757132404</v>
      </c>
      <c r="O5" s="17">
        <f>B52*B53*B54</f>
        <v>168.63644864789771</v>
      </c>
      <c r="P5" s="17">
        <f>B60*B61*B62/1000-B60*B61*B62/1000/B63</f>
        <v>31.601877923055071</v>
      </c>
    </row>
    <row r="6" spans="1:16">
      <c r="A6" s="16" t="s">
        <v>604</v>
      </c>
      <c r="B6" s="778">
        <f>kWh_PV_kleiner_dan_10kW</f>
        <v>1773.0400103245697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19747.716110324571</v>
      </c>
      <c r="C8" s="21">
        <f>C5</f>
        <v>0</v>
      </c>
      <c r="D8" s="21">
        <f>D5</f>
        <v>47254.889635800006</v>
      </c>
      <c r="E8" s="21">
        <f>E5</f>
        <v>1629.4114198838097</v>
      </c>
      <c r="F8" s="21">
        <f>F5</f>
        <v>26268.283778389268</v>
      </c>
      <c r="G8" s="21"/>
      <c r="H8" s="21"/>
      <c r="I8" s="21"/>
      <c r="J8" s="21">
        <f>J5</f>
        <v>104.94063557444375</v>
      </c>
      <c r="K8" s="21"/>
      <c r="L8" s="21">
        <f>L5</f>
        <v>0</v>
      </c>
      <c r="M8" s="21">
        <f>M5</f>
        <v>0</v>
      </c>
      <c r="N8" s="21">
        <f>N5</f>
        <v>7364.3796757132404</v>
      </c>
      <c r="O8" s="21">
        <f>O5</f>
        <v>168.63644864789771</v>
      </c>
      <c r="P8" s="21">
        <f>P5</f>
        <v>31.601877923055071</v>
      </c>
    </row>
    <row r="9" spans="1:16">
      <c r="B9" s="19"/>
      <c r="C9" s="19"/>
      <c r="D9" s="256"/>
      <c r="E9" s="19"/>
      <c r="F9" s="19"/>
      <c r="G9" s="19"/>
      <c r="H9" s="19"/>
      <c r="I9" s="19"/>
      <c r="J9" s="19"/>
      <c r="K9" s="19"/>
      <c r="L9" s="19"/>
      <c r="M9" s="19"/>
      <c r="N9" s="19"/>
      <c r="O9" s="19"/>
      <c r="P9" s="19"/>
    </row>
    <row r="10" spans="1:16">
      <c r="A10" s="24" t="s">
        <v>213</v>
      </c>
      <c r="B10" s="25">
        <f ca="1">'EF ele_warmte'!B12</f>
        <v>0.1023511406267941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2021.2012686658375</v>
      </c>
      <c r="C12" s="23">
        <f ca="1">C10*C8</f>
        <v>0</v>
      </c>
      <c r="D12" s="23">
        <f>D8*D10</f>
        <v>9545.4877064316024</v>
      </c>
      <c r="E12" s="23">
        <f>E10*E8</f>
        <v>369.87639231362482</v>
      </c>
      <c r="F12" s="23">
        <f>F10*F8</f>
        <v>7013.631768829935</v>
      </c>
      <c r="G12" s="23"/>
      <c r="H12" s="23"/>
      <c r="I12" s="23"/>
      <c r="J12" s="23">
        <f>J10*J8</f>
        <v>37.148984993353082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5427</v>
      </c>
      <c r="C26" s="36"/>
      <c r="D26" s="226"/>
    </row>
    <row r="27" spans="1:7" s="15" customFormat="1">
      <c r="A27" s="228" t="s">
        <v>806</v>
      </c>
      <c r="B27" s="37">
        <f>SUM(HH_hh_gas_aantal,HH_rest_gas_aantal)</f>
        <v>3721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3534.95</v>
      </c>
      <c r="C31" s="166" t="s">
        <v>110</v>
      </c>
      <c r="D31" s="231"/>
      <c r="G31" s="15"/>
    </row>
    <row r="32" spans="1:7">
      <c r="A32" s="169" t="s">
        <v>72</v>
      </c>
      <c r="B32" s="166">
        <f>IF((B21*($B$26-($B$27-0.05*$B$27)-$B$60))&lt;0,0,B21*($B$26-($B$27-0.05*$B$27)-$B$60))</f>
        <v>29.989044092777345</v>
      </c>
      <c r="C32" s="166" t="s">
        <v>110</v>
      </c>
      <c r="D32" s="231"/>
      <c r="G32" s="15"/>
    </row>
    <row r="33" spans="1:7">
      <c r="A33" s="169" t="s">
        <v>73</v>
      </c>
      <c r="B33" s="166">
        <f>IF((B22*($B$26-($B$27-0.05*$B$27)-$B$60))&lt;0,0,B22*($B$26-($B$27-0.05*$B$27)-$B$60))</f>
        <v>486.96268211297695</v>
      </c>
      <c r="C33" s="166" t="s">
        <v>110</v>
      </c>
      <c r="D33" s="231"/>
      <c r="G33" s="15"/>
    </row>
    <row r="34" spans="1:7">
      <c r="A34" s="169" t="s">
        <v>74</v>
      </c>
      <c r="B34" s="166">
        <f>IF((B24*($B$26-($B$27-0.05*$B$27)-$B$60))&lt;0,0,B24*($B$26-($B$27-0.05*$B$27)-$B$60))</f>
        <v>93.3572629216671</v>
      </c>
      <c r="C34" s="166">
        <f>B26*C24</f>
        <v>1112.0245353301152</v>
      </c>
      <c r="D34" s="231"/>
      <c r="G34" s="15"/>
    </row>
    <row r="35" spans="1:7">
      <c r="A35" s="169" t="s">
        <v>76</v>
      </c>
      <c r="B35" s="166">
        <f>IF((B19*($B$26-($B$27-0.05*$B$27)-$B$60))&lt;0,0,B19*($B$26-($B$27-0.05*$B$27)-$B$60))</f>
        <v>13.036165971292254</v>
      </c>
      <c r="C35" s="166">
        <f>B35/2</f>
        <v>6.5180829856461271</v>
      </c>
      <c r="D35" s="232"/>
      <c r="G35" s="15"/>
    </row>
    <row r="36" spans="1:7">
      <c r="A36" s="169" t="s">
        <v>77</v>
      </c>
      <c r="B36" s="166">
        <f>IF((B18*($B$26-($B$27-0.05*$B$27)-$B$60))&lt;0,0,B18*($B$26-($B$27-0.05*$B$27)-$B$60))</f>
        <v>1265.7048449012862</v>
      </c>
      <c r="C36" s="166" t="s">
        <v>110</v>
      </c>
      <c r="D36" s="232"/>
      <c r="G36" s="15"/>
    </row>
    <row r="37" spans="1:7">
      <c r="A37" s="169" t="s">
        <v>78</v>
      </c>
      <c r="B37" s="166">
        <f>B60</f>
        <v>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85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12924.346118999998</v>
      </c>
      <c r="C5" s="17">
        <f>IF(ISERROR('Eigen informatie GS &amp; warmtenet'!B60),0,'Eigen informatie GS &amp; warmtenet'!B60)</f>
        <v>0</v>
      </c>
      <c r="D5" s="30">
        <f>SUM(D6:D12)</f>
        <v>24139.957134546003</v>
      </c>
      <c r="E5" s="17">
        <f>SUM(E6:E12)</f>
        <v>180.43273646019605</v>
      </c>
      <c r="F5" s="17">
        <f>SUM(F6:F12)</f>
        <v>1510.8446842807257</v>
      </c>
      <c r="G5" s="18"/>
      <c r="H5" s="17"/>
      <c r="I5" s="17"/>
      <c r="J5" s="17">
        <f>SUM(J6:J12)</f>
        <v>3.3689782419639956E-2</v>
      </c>
      <c r="K5" s="17"/>
      <c r="L5" s="17"/>
      <c r="M5" s="17"/>
      <c r="N5" s="17">
        <f>SUM(N6:N12)</f>
        <v>1320.3947018333365</v>
      </c>
      <c r="O5" s="17">
        <f>B38*B39*B40</f>
        <v>14.691782297523464</v>
      </c>
      <c r="P5" s="17">
        <f>B46*B47*B48/1000-B46*B47*B48/1000/B49</f>
        <v>0</v>
      </c>
      <c r="R5" s="32"/>
    </row>
    <row r="6" spans="1:18">
      <c r="A6" s="32" t="s">
        <v>53</v>
      </c>
      <c r="B6" s="37">
        <f>B26</f>
        <v>2833.7393520000001</v>
      </c>
      <c r="C6" s="33"/>
      <c r="D6" s="37">
        <f>IF(ISERROR(TER_kantoor_gas_kWh/1000),0,TER_kantoor_gas_kWh/1000)*0.902</f>
        <v>5872.6301128000005</v>
      </c>
      <c r="E6" s="33">
        <f>$C$26*'E Balans VL '!I12/100/3.6*1000000</f>
        <v>22.80219199712856</v>
      </c>
      <c r="F6" s="33">
        <f>$C$26*('E Balans VL '!L12+'E Balans VL '!N12)/100/3.6*1000000</f>
        <v>346.45444576559686</v>
      </c>
      <c r="G6" s="34"/>
      <c r="H6" s="33"/>
      <c r="I6" s="33"/>
      <c r="J6" s="33">
        <f>$C$26*('E Balans VL '!D12+'E Balans VL '!E12)/100/3.6*1000000</f>
        <v>0</v>
      </c>
      <c r="K6" s="33"/>
      <c r="L6" s="33"/>
      <c r="M6" s="33"/>
      <c r="N6" s="33">
        <f>$C$26*'E Balans VL '!Y12/100/3.6*1000000</f>
        <v>1.5229953551406659</v>
      </c>
      <c r="O6" s="33"/>
      <c r="P6" s="33"/>
      <c r="R6" s="32"/>
    </row>
    <row r="7" spans="1:18">
      <c r="A7" s="32" t="s">
        <v>52</v>
      </c>
      <c r="B7" s="37">
        <f t="shared" ref="B7:B12" si="0">B27</f>
        <v>3254.46495</v>
      </c>
      <c r="C7" s="33"/>
      <c r="D7" s="37">
        <f>IF(ISERROR(TER_horeca_gas_kWh/1000),0,TER_horeca_gas_kWh/1000)*0.902</f>
        <v>9666.9789994360017</v>
      </c>
      <c r="E7" s="33">
        <f>$C$27*'E Balans VL '!I9/100/3.6*1000000</f>
        <v>34.944961994234916</v>
      </c>
      <c r="F7" s="33">
        <f>$C$27*('E Balans VL '!L9+'E Balans VL '!N9)/100/3.6*1000000</f>
        <v>391.43321696450676</v>
      </c>
      <c r="G7" s="34"/>
      <c r="H7" s="33"/>
      <c r="I7" s="33"/>
      <c r="J7" s="33">
        <f>$C$27*('E Balans VL '!D9+'E Balans VL '!E9)/100/3.6*1000000</f>
        <v>0</v>
      </c>
      <c r="K7" s="33"/>
      <c r="L7" s="33"/>
      <c r="M7" s="33"/>
      <c r="N7" s="33">
        <f>$C$27*'E Balans VL '!Y9/100/3.6*1000000</f>
        <v>0.48791025635163687</v>
      </c>
      <c r="O7" s="33"/>
      <c r="P7" s="33"/>
      <c r="R7" s="32"/>
    </row>
    <row r="8" spans="1:18">
      <c r="A8" s="6" t="s">
        <v>51</v>
      </c>
      <c r="B8" s="37">
        <f t="shared" si="0"/>
        <v>4151.1396500000001</v>
      </c>
      <c r="C8" s="33"/>
      <c r="D8" s="37">
        <f>IF(ISERROR(TER_handel_gas_kWh/1000),0,TER_handel_gas_kWh/1000)*0.902</f>
        <v>3003.1600214000005</v>
      </c>
      <c r="E8" s="33">
        <f>$C$28*'E Balans VL '!I13/100/3.6*1000000</f>
        <v>111.40387961524495</v>
      </c>
      <c r="F8" s="33">
        <f>$C$28*('E Balans VL '!L13+'E Balans VL '!N13)/100/3.6*1000000</f>
        <v>396.14666403295109</v>
      </c>
      <c r="G8" s="34"/>
      <c r="H8" s="33"/>
      <c r="I8" s="33"/>
      <c r="J8" s="33">
        <f>$C$28*('E Balans VL '!D13+'E Balans VL '!E13)/100/3.6*1000000</f>
        <v>0</v>
      </c>
      <c r="K8" s="33"/>
      <c r="L8" s="33"/>
      <c r="M8" s="33"/>
      <c r="N8" s="33">
        <f>$C$28*'E Balans VL '!Y13/100/3.6*1000000</f>
        <v>1.6455589573180045</v>
      </c>
      <c r="O8" s="33"/>
      <c r="P8" s="33"/>
      <c r="R8" s="32"/>
    </row>
    <row r="9" spans="1:18">
      <c r="A9" s="32" t="s">
        <v>50</v>
      </c>
      <c r="B9" s="37">
        <f t="shared" si="0"/>
        <v>408.077</v>
      </c>
      <c r="C9" s="33"/>
      <c r="D9" s="37">
        <f>IF(ISERROR(TER_gezond_gas_kWh/1000),0,TER_gezond_gas_kWh/1000)*0.902</f>
        <v>950.75400200000001</v>
      </c>
      <c r="E9" s="33">
        <f>$C$29*'E Balans VL '!I10/100/3.6*1000000</f>
        <v>0.76486917364116491</v>
      </c>
      <c r="F9" s="33">
        <f>$C$29*('E Balans VL '!L10+'E Balans VL '!N10)/100/3.6*1000000</f>
        <v>33.547652815723481</v>
      </c>
      <c r="G9" s="34"/>
      <c r="H9" s="33"/>
      <c r="I9" s="33"/>
      <c r="J9" s="33">
        <f>$C$29*('E Balans VL '!D10+'E Balans VL '!E10)/100/3.6*1000000</f>
        <v>0</v>
      </c>
      <c r="K9" s="33"/>
      <c r="L9" s="33"/>
      <c r="M9" s="33"/>
      <c r="N9" s="33">
        <f>$C$29*'E Balans VL '!Y10/100/3.6*1000000</f>
        <v>3.1751435291902497</v>
      </c>
      <c r="O9" s="33"/>
      <c r="P9" s="33"/>
      <c r="R9" s="32"/>
    </row>
    <row r="10" spans="1:18">
      <c r="A10" s="32" t="s">
        <v>49</v>
      </c>
      <c r="B10" s="37">
        <f t="shared" si="0"/>
        <v>1984.5472439999999</v>
      </c>
      <c r="C10" s="33"/>
      <c r="D10" s="37">
        <f>IF(ISERROR(TER_ander_gas_kWh/1000),0,TER_ander_gas_kWh/1000)*0.902</f>
        <v>3438.7633369099999</v>
      </c>
      <c r="E10" s="33">
        <f>$C$30*'E Balans VL '!I14/100/3.6*1000000</f>
        <v>3.0591996857325112</v>
      </c>
      <c r="F10" s="33">
        <f>$C$30*('E Balans VL '!L14+'E Balans VL '!N14)/100/3.6*1000000</f>
        <v>308.10150749538764</v>
      </c>
      <c r="G10" s="34"/>
      <c r="H10" s="33"/>
      <c r="I10" s="33"/>
      <c r="J10" s="33">
        <f>$C$30*('E Balans VL '!D14+'E Balans VL '!E14)/100/3.6*1000000</f>
        <v>3.3689782419639956E-2</v>
      </c>
      <c r="K10" s="33"/>
      <c r="L10" s="33"/>
      <c r="M10" s="33"/>
      <c r="N10" s="33">
        <f>$C$30*'E Balans VL '!Y14/100/3.6*1000000</f>
        <v>1312.9128523686668</v>
      </c>
      <c r="O10" s="33"/>
      <c r="P10" s="33"/>
      <c r="R10" s="32"/>
    </row>
    <row r="11" spans="1:18">
      <c r="A11" s="32" t="s">
        <v>54</v>
      </c>
      <c r="B11" s="37">
        <f t="shared" si="0"/>
        <v>292.37792300000001</v>
      </c>
      <c r="C11" s="33"/>
      <c r="D11" s="37">
        <f>IF(ISERROR(TER_onderwijs_gas_kWh/1000),0,TER_onderwijs_gas_kWh/1000)*0.902</f>
        <v>1207.6706620000002</v>
      </c>
      <c r="E11" s="33">
        <f>$C$31*'E Balans VL '!I11/100/3.6*1000000</f>
        <v>7.457633994213956</v>
      </c>
      <c r="F11" s="33">
        <f>$C$31*('E Balans VL '!L11+'E Balans VL '!N11)/100/3.6*1000000</f>
        <v>35.161197206559812</v>
      </c>
      <c r="G11" s="34"/>
      <c r="H11" s="33"/>
      <c r="I11" s="33"/>
      <c r="J11" s="33">
        <f>$C$31*('E Balans VL '!D11+'E Balans VL '!E11)/100/3.6*1000000</f>
        <v>0</v>
      </c>
      <c r="K11" s="33"/>
      <c r="L11" s="33"/>
      <c r="M11" s="33"/>
      <c r="N11" s="33">
        <f>$C$31*'E Balans VL '!Y11/100/3.6*1000000</f>
        <v>0.65024136666920684</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12924.346118999998</v>
      </c>
      <c r="C16" s="21">
        <f t="shared" ca="1" si="1"/>
        <v>0</v>
      </c>
      <c r="D16" s="21">
        <f t="shared" ca="1" si="1"/>
        <v>24139.957134546003</v>
      </c>
      <c r="E16" s="21">
        <f t="shared" si="1"/>
        <v>180.43273646019605</v>
      </c>
      <c r="F16" s="21">
        <f t="shared" ca="1" si="1"/>
        <v>1510.8446842807257</v>
      </c>
      <c r="G16" s="21">
        <f t="shared" si="1"/>
        <v>0</v>
      </c>
      <c r="H16" s="21">
        <f t="shared" si="1"/>
        <v>0</v>
      </c>
      <c r="I16" s="21">
        <f t="shared" si="1"/>
        <v>0</v>
      </c>
      <c r="J16" s="21">
        <f t="shared" si="1"/>
        <v>3.3689782419639956E-2</v>
      </c>
      <c r="K16" s="21">
        <f t="shared" si="1"/>
        <v>0</v>
      </c>
      <c r="L16" s="21">
        <f t="shared" ca="1" si="1"/>
        <v>0</v>
      </c>
      <c r="M16" s="21">
        <f t="shared" si="1"/>
        <v>0</v>
      </c>
      <c r="N16" s="21">
        <f t="shared" ca="1" si="1"/>
        <v>1320.3947018333365</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0.1023511406267941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1322.8215671351293</v>
      </c>
      <c r="C20" s="23">
        <f t="shared" ref="C20:P20" ca="1" si="2">C16*C18</f>
        <v>0</v>
      </c>
      <c r="D20" s="23">
        <f t="shared" ca="1" si="2"/>
        <v>4876.2713411782925</v>
      </c>
      <c r="E20" s="23">
        <f t="shared" si="2"/>
        <v>40.958231176464508</v>
      </c>
      <c r="F20" s="23">
        <f t="shared" ca="1" si="2"/>
        <v>403.39553070295381</v>
      </c>
      <c r="G20" s="23">
        <f t="shared" si="2"/>
        <v>0</v>
      </c>
      <c r="H20" s="23">
        <f t="shared" si="2"/>
        <v>0</v>
      </c>
      <c r="I20" s="23">
        <f t="shared" si="2"/>
        <v>0</v>
      </c>
      <c r="J20" s="23">
        <f t="shared" si="2"/>
        <v>1.1926182976552544E-2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2833.7393520000001</v>
      </c>
      <c r="C26" s="39">
        <f>IF(ISERROR(B26*3.6/1000000/'E Balans VL '!Z12*100),0,B26*3.6/1000000/'E Balans VL '!Z12*100)</f>
        <v>6.0115187778887684E-2</v>
      </c>
      <c r="D26" s="235" t="s">
        <v>698</v>
      </c>
      <c r="F26" s="6"/>
    </row>
    <row r="27" spans="1:18">
      <c r="A27" s="229" t="s">
        <v>52</v>
      </c>
      <c r="B27" s="33">
        <f>IF(ISERROR(TER_horeca_ele_kWh/1000),0,TER_horeca_ele_kWh/1000)</f>
        <v>3254.46495</v>
      </c>
      <c r="C27" s="39">
        <f>IF(ISERROR(B27*3.6/1000000/'E Balans VL '!Z9*100),0,B27*3.6/1000000/'E Balans VL '!Z9*100)</f>
        <v>0.24509004043410096</v>
      </c>
      <c r="D27" s="235" t="s">
        <v>698</v>
      </c>
      <c r="F27" s="6"/>
    </row>
    <row r="28" spans="1:18">
      <c r="A28" s="169" t="s">
        <v>51</v>
      </c>
      <c r="B28" s="33">
        <f>IF(ISERROR(TER_handel_ele_kWh/1000),0,TER_handel_ele_kWh/1000)</f>
        <v>4151.1396500000001</v>
      </c>
      <c r="C28" s="39">
        <f>IF(ISERROR(B28*3.6/1000000/'E Balans VL '!Z13*100),0,B28*3.6/1000000/'E Balans VL '!Z13*100)</f>
        <v>0.12049287540412579</v>
      </c>
      <c r="D28" s="235" t="s">
        <v>698</v>
      </c>
      <c r="F28" s="6"/>
    </row>
    <row r="29" spans="1:18">
      <c r="A29" s="229" t="s">
        <v>50</v>
      </c>
      <c r="B29" s="33">
        <f>IF(ISERROR(TER_gezond_ele_kWh/1000),0,TER_gezond_ele_kWh/1000)</f>
        <v>408.077</v>
      </c>
      <c r="C29" s="39">
        <f>IF(ISERROR(B29*3.6/1000000/'E Balans VL '!Z10*100),0,B29*3.6/1000000/'E Balans VL '!Z10*100)</f>
        <v>4.1155052101643386E-2</v>
      </c>
      <c r="D29" s="235" t="s">
        <v>698</v>
      </c>
      <c r="F29" s="6"/>
    </row>
    <row r="30" spans="1:18">
      <c r="A30" s="229" t="s">
        <v>49</v>
      </c>
      <c r="B30" s="33">
        <f>IF(ISERROR(TER_ander_ele_kWh/1000),0,TER_ander_ele_kWh/1000)</f>
        <v>1984.5472439999999</v>
      </c>
      <c r="C30" s="39">
        <f>IF(ISERROR(B30*3.6/1000000/'E Balans VL '!Z14*100),0,B30*3.6/1000000/'E Balans VL '!Z14*100)</f>
        <v>0.14400597674079826</v>
      </c>
      <c r="D30" s="235" t="s">
        <v>698</v>
      </c>
      <c r="F30" s="6"/>
    </row>
    <row r="31" spans="1:18">
      <c r="A31" s="229" t="s">
        <v>54</v>
      </c>
      <c r="B31" s="33">
        <f>IF(ISERROR(TER_onderwijs_ele_kWh/1000),0,TER_onderwijs_ele_kWh/1000)</f>
        <v>292.37792300000001</v>
      </c>
      <c r="C31" s="39">
        <f>IF(ISERROR(B31*3.6/1000000/'E Balans VL '!Z11*100),0,B31*3.6/1000000/'E Balans VL '!Z11*100)</f>
        <v>8.3339614238419651E-2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40726.146173000008</v>
      </c>
      <c r="C5" s="17">
        <f>IF(ISERROR('Eigen informatie GS &amp; warmtenet'!B61),0,'Eigen informatie GS &amp; warmtenet'!B61)</f>
        <v>0</v>
      </c>
      <c r="D5" s="30">
        <f>SUM(D6:D15)</f>
        <v>143759.76707839998</v>
      </c>
      <c r="E5" s="17">
        <f>SUM(E6:E15)</f>
        <v>282.91913586472219</v>
      </c>
      <c r="F5" s="17">
        <f>SUM(F6:F15)</f>
        <v>1097.9546629518734</v>
      </c>
      <c r="G5" s="18"/>
      <c r="H5" s="17"/>
      <c r="I5" s="17"/>
      <c r="J5" s="17">
        <f>SUM(J6:J15)</f>
        <v>9.0807840861602447</v>
      </c>
      <c r="K5" s="17"/>
      <c r="L5" s="17"/>
      <c r="M5" s="17"/>
      <c r="N5" s="17">
        <f>SUM(N6:N15)</f>
        <v>115.44662628635942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286.05992300000003</v>
      </c>
      <c r="C8" s="33"/>
      <c r="D8" s="37">
        <f>IF( ISERROR(IND_metaal_Gas_kWH/1000),0,IND_metaal_Gas_kWH/1000)*0.902</f>
        <v>232.462538</v>
      </c>
      <c r="E8" s="33">
        <f>C30*'E Balans VL '!I18/100/3.6*1000000</f>
        <v>2.0637215688266379</v>
      </c>
      <c r="F8" s="33">
        <f>C30*'E Balans VL '!L18/100/3.6*1000000+C30*'E Balans VL '!N18/100/3.6*1000000</f>
        <v>27.055994140305025</v>
      </c>
      <c r="G8" s="34"/>
      <c r="H8" s="33"/>
      <c r="I8" s="33"/>
      <c r="J8" s="40">
        <f>C30*'E Balans VL '!D18/100/3.6*1000000+C30*'E Balans VL '!E18/100/3.6*1000000</f>
        <v>0.28772073290428601</v>
      </c>
      <c r="K8" s="33"/>
      <c r="L8" s="33"/>
      <c r="M8" s="33"/>
      <c r="N8" s="33">
        <f>C30*'E Balans VL '!Y18/100/3.6*1000000</f>
        <v>3.6165542665561481</v>
      </c>
      <c r="O8" s="33"/>
      <c r="P8" s="33"/>
      <c r="R8" s="32"/>
    </row>
    <row r="9" spans="1:18">
      <c r="A9" s="6" t="s">
        <v>32</v>
      </c>
      <c r="B9" s="37">
        <f t="shared" si="0"/>
        <v>689.28925000000004</v>
      </c>
      <c r="C9" s="33"/>
      <c r="D9" s="37">
        <f>IF( ISERROR(IND_andere_gas_kWh/1000),0,IND_andere_gas_kWh/1000)*0.902</f>
        <v>578.91640839999991</v>
      </c>
      <c r="E9" s="33">
        <f>C31*'E Balans VL '!I19/100/3.6*1000000</f>
        <v>191.01126812699286</v>
      </c>
      <c r="F9" s="33">
        <f>C31*'E Balans VL '!L19/100/3.6*1000000+C31*'E Balans VL '!N19/100/3.6*1000000</f>
        <v>571.28441996554943</v>
      </c>
      <c r="G9" s="34"/>
      <c r="H9" s="33"/>
      <c r="I9" s="33"/>
      <c r="J9" s="40">
        <f>C31*'E Balans VL '!D19/100/3.6*1000000+C31*'E Balans VL '!E19/100/3.6*1000000</f>
        <v>0</v>
      </c>
      <c r="K9" s="33"/>
      <c r="L9" s="33"/>
      <c r="M9" s="33"/>
      <c r="N9" s="33">
        <f>C31*'E Balans VL '!Y19/100/3.6*1000000</f>
        <v>50.033968629755726</v>
      </c>
      <c r="O9" s="33"/>
      <c r="P9" s="33"/>
      <c r="R9" s="32"/>
    </row>
    <row r="10" spans="1:18">
      <c r="A10" s="6" t="s">
        <v>40</v>
      </c>
      <c r="B10" s="37">
        <f t="shared" si="0"/>
        <v>689.98400000000004</v>
      </c>
      <c r="C10" s="33"/>
      <c r="D10" s="37">
        <f>IF( ISERROR(IND_voed_gas_kWh/1000),0,IND_voed_gas_kWh/1000)*0.902</f>
        <v>559.412282</v>
      </c>
      <c r="E10" s="33">
        <f>C32*'E Balans VL '!I20/100/3.6*1000000</f>
        <v>1.2215053925647821</v>
      </c>
      <c r="F10" s="33">
        <f>C32*'E Balans VL '!L20/100/3.6*1000000+C32*'E Balans VL '!N20/100/3.6*1000000</f>
        <v>37.2652512733371</v>
      </c>
      <c r="G10" s="34"/>
      <c r="H10" s="33"/>
      <c r="I10" s="33"/>
      <c r="J10" s="40">
        <f>C32*'E Balans VL '!D20/100/3.6*1000000+C32*'E Balans VL '!E20/100/3.6*1000000</f>
        <v>0</v>
      </c>
      <c r="K10" s="33"/>
      <c r="L10" s="33"/>
      <c r="M10" s="33"/>
      <c r="N10" s="33">
        <f>C32*'E Balans VL '!Y20/100/3.6*1000000</f>
        <v>40.093339873470327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79.804000000000002</v>
      </c>
      <c r="C13" s="33"/>
      <c r="D13" s="37">
        <f>IF( ISERROR(IND_papier_gas_kWh/1000),0,IND_papier_gas_kWh/1000)*0.902</f>
        <v>0</v>
      </c>
      <c r="E13" s="33">
        <f>C35*'E Balans VL '!I23/100/3.6*1000000</f>
        <v>0.11741908711157222</v>
      </c>
      <c r="F13" s="33">
        <f>C35*'E Balans VL '!L23/100/3.6*1000000+C35*'E Balans VL '!N23/100/3.6*1000000</f>
        <v>0.85448589012482212</v>
      </c>
      <c r="G13" s="34"/>
      <c r="H13" s="33"/>
      <c r="I13" s="33"/>
      <c r="J13" s="40">
        <f>C35*'E Balans VL '!D23/100/3.6*1000000+C35*'E Balans VL '!E23/100/3.6*1000000</f>
        <v>8.7310051174137904</v>
      </c>
      <c r="K13" s="33"/>
      <c r="L13" s="33"/>
      <c r="M13" s="33"/>
      <c r="N13" s="33">
        <f>C35*'E Balans VL '!Y23/100/3.6*1000000</f>
        <v>0</v>
      </c>
      <c r="O13" s="33"/>
      <c r="P13" s="33"/>
      <c r="R13" s="32"/>
    </row>
    <row r="14" spans="1:18">
      <c r="A14" s="6" t="s">
        <v>33</v>
      </c>
      <c r="B14" s="37">
        <f t="shared" si="0"/>
        <v>38973.497000000003</v>
      </c>
      <c r="C14" s="33"/>
      <c r="D14" s="37">
        <f>IF( ISERROR(IND_chemie_gas_kWh/1000),0,IND_chemie_gas_kWh/1000)*0.902</f>
        <v>0</v>
      </c>
      <c r="E14" s="33">
        <f>C36*'E Balans VL '!I24/100/3.6*1000000</f>
        <v>88.150200209227364</v>
      </c>
      <c r="F14" s="33">
        <f>C36*'E Balans VL '!L24/100/3.6*1000000+C36*'E Balans VL '!N24/100/3.6*1000000</f>
        <v>460.15895690606715</v>
      </c>
      <c r="G14" s="34"/>
      <c r="H14" s="33"/>
      <c r="I14" s="33"/>
      <c r="J14" s="40">
        <f>C36*'E Balans VL '!D24/100/3.6*1000000+C36*'E Balans VL '!E24/100/3.6*1000000</f>
        <v>0</v>
      </c>
      <c r="K14" s="33"/>
      <c r="L14" s="33"/>
      <c r="M14" s="33"/>
      <c r="N14" s="33">
        <f>C36*'E Balans VL '!Y24/100/3.6*1000000</f>
        <v>21.407558559810063</v>
      </c>
      <c r="O14" s="33"/>
      <c r="P14" s="33"/>
      <c r="R14" s="32"/>
    </row>
    <row r="15" spans="1:18">
      <c r="A15" s="6" t="s">
        <v>264</v>
      </c>
      <c r="B15" s="37">
        <f t="shared" si="0"/>
        <v>7.5119999999999996</v>
      </c>
      <c r="C15" s="33"/>
      <c r="D15" s="37">
        <f>IF( ISERROR(IND_rest_gas_kWh/1000),0,IND_rest_gas_kWh/1000)*0.902</f>
        <v>142388.97584999999</v>
      </c>
      <c r="E15" s="33">
        <f>C37*'E Balans VL '!I15/100/3.6*1000000</f>
        <v>0.35502147999897987</v>
      </c>
      <c r="F15" s="33">
        <f>C37*'E Balans VL '!L15/100/3.6*1000000+C37*'E Balans VL '!N15/100/3.6*1000000</f>
        <v>1.3355547764897444</v>
      </c>
      <c r="G15" s="34"/>
      <c r="H15" s="33"/>
      <c r="I15" s="33"/>
      <c r="J15" s="40">
        <f>C37*'E Balans VL '!D15/100/3.6*1000000+C37*'E Balans VL '!E15/100/3.6*1000000</f>
        <v>6.2058235842166645E-2</v>
      </c>
      <c r="K15" s="33"/>
      <c r="L15" s="33"/>
      <c r="M15" s="33"/>
      <c r="N15" s="33">
        <f>C37*'E Balans VL '!Y15/100/3.6*1000000</f>
        <v>0.29520495676715208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40726.146173000008</v>
      </c>
      <c r="C18" s="21">
        <f>C5+C16</f>
        <v>0</v>
      </c>
      <c r="D18" s="21">
        <f>MAX((D5+D16),0)</f>
        <v>143759.76707839998</v>
      </c>
      <c r="E18" s="21">
        <f>MAX((E5+E16),0)</f>
        <v>282.91913586472219</v>
      </c>
      <c r="F18" s="21">
        <f>MAX((F5+F16),0)</f>
        <v>1097.9546629518734</v>
      </c>
      <c r="G18" s="21"/>
      <c r="H18" s="21"/>
      <c r="I18" s="21"/>
      <c r="J18" s="21">
        <f>MAX((J5+J16),0)</f>
        <v>9.0807840861602447</v>
      </c>
      <c r="K18" s="21"/>
      <c r="L18" s="21">
        <f>MAX((L5+L16),0)</f>
        <v>0</v>
      </c>
      <c r="M18" s="21"/>
      <c r="N18" s="21">
        <f>MAX((N5+N16),0)</f>
        <v>115.44662628635942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0.1023511406267941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4168.3675141400963</v>
      </c>
      <c r="C22" s="23">
        <f ca="1">C18*C20</f>
        <v>0</v>
      </c>
      <c r="D22" s="23">
        <f>D18*D20</f>
        <v>29039.472949836796</v>
      </c>
      <c r="E22" s="23">
        <f>E18*E20</f>
        <v>64.222643841291941</v>
      </c>
      <c r="F22" s="23">
        <f>F18*F20</f>
        <v>293.15389500815019</v>
      </c>
      <c r="G22" s="23"/>
      <c r="H22" s="23"/>
      <c r="I22" s="23"/>
      <c r="J22" s="23">
        <f>J18*J20</f>
        <v>3.2145975665007263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286.05992300000003</v>
      </c>
      <c r="C30" s="39">
        <f>IF(ISERROR(B30*3.6/1000000/'E Balans VL '!Z18*100),0,B30*3.6/1000000/'E Balans VL '!Z18*100)</f>
        <v>1.6513793001856302E-2</v>
      </c>
      <c r="D30" s="235" t="s">
        <v>698</v>
      </c>
    </row>
    <row r="31" spans="1:18">
      <c r="A31" s="6" t="s">
        <v>32</v>
      </c>
      <c r="B31" s="37">
        <f>IF( ISERROR(IND_ander_ele_kWh/1000),0,IND_ander_ele_kWh/1000)</f>
        <v>689.28925000000004</v>
      </c>
      <c r="C31" s="39">
        <f>IF(ISERROR(B31*3.6/1000000/'E Balans VL '!Z19*100),0,B31*3.6/1000000/'E Balans VL '!Z19*100)</f>
        <v>3.4669015030408264E-2</v>
      </c>
      <c r="D31" s="235" t="s">
        <v>698</v>
      </c>
    </row>
    <row r="32" spans="1:18">
      <c r="A32" s="169" t="s">
        <v>40</v>
      </c>
      <c r="B32" s="37">
        <f>IF( ISERROR(IND_voed_ele_kWh/1000),0,IND_voed_ele_kWh/1000)</f>
        <v>689.98400000000004</v>
      </c>
      <c r="C32" s="39">
        <f>IF(ISERROR(B32*3.6/1000000/'E Balans VL '!Z20*100),0,B32*3.6/1000000/'E Balans VL '!Z20*100)</f>
        <v>2.2980564496166939E-2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79.804000000000002</v>
      </c>
      <c r="C35" s="39">
        <f>IF(ISERROR(B35*3.6/1000000/'E Balans VL '!Z22*100),0,B35*3.6/1000000/'E Balans VL '!Z22*100)</f>
        <v>1.4886141488495618E-2</v>
      </c>
      <c r="D35" s="235" t="s">
        <v>698</v>
      </c>
    </row>
    <row r="36" spans="1:5">
      <c r="A36" s="169" t="s">
        <v>33</v>
      </c>
      <c r="B36" s="37">
        <f>IF( ISERROR(IND_chemie_ele_kWh/1000),0,IND_chemie_ele_kWh/1000)</f>
        <v>38973.497000000003</v>
      </c>
      <c r="C36" s="39">
        <f>IF(ISERROR(B36*3.6/1000000/'E Balans VL '!Z24*100),0,B36*3.6/1000000/'E Balans VL '!Z24*100)</f>
        <v>1.0279740004710709</v>
      </c>
      <c r="D36" s="235" t="s">
        <v>698</v>
      </c>
    </row>
    <row r="37" spans="1:5">
      <c r="A37" s="169" t="s">
        <v>264</v>
      </c>
      <c r="B37" s="37">
        <f>IF( ISERROR(IND_rest_ele_kWh/1000),0,IND_rest_ele_kWh/1000)</f>
        <v>7.5119999999999996</v>
      </c>
      <c r="C37" s="39">
        <f>IF(ISERROR(B37*3.6/1000000/'E Balans VL '!Z15*100),0,B37*3.6/1000000/'E Balans VL '!Z15*100)</f>
        <v>5.861414254952264E-5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241.85848000000001</v>
      </c>
      <c r="C5" s="17">
        <f>'Eigen informatie GS &amp; warmtenet'!B62</f>
        <v>0</v>
      </c>
      <c r="D5" s="30">
        <f>IF(ISERROR(SUM(LB_lb_gas_kWh,LB_rest_gas_kWh)/1000),0,SUM(LB_lb_gas_kWh,LB_rest_gas_kWh)/1000)*0.902</f>
        <v>60.146262</v>
      </c>
      <c r="E5" s="17">
        <f>B17*'E Balans VL '!I25/3.6*1000000/100</f>
        <v>7.5483234057125124</v>
      </c>
      <c r="F5" s="17">
        <f>B17*('E Balans VL '!L25/3.6*1000000+'E Balans VL '!N25/3.6*1000000)/100</f>
        <v>854.75466067966374</v>
      </c>
      <c r="G5" s="18"/>
      <c r="H5" s="17"/>
      <c r="I5" s="17"/>
      <c r="J5" s="17">
        <f>('E Balans VL '!D25+'E Balans VL '!E25)/3.6*1000000*landbouw!B17/100</f>
        <v>66.633688513859283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241.85848000000001</v>
      </c>
      <c r="C8" s="21">
        <f>C5+C6</f>
        <v>0</v>
      </c>
      <c r="D8" s="21">
        <f>MAX((D5+D6),0)</f>
        <v>60.146262</v>
      </c>
      <c r="E8" s="21">
        <f>MAX((E5+E6),0)</f>
        <v>7.5483234057125124</v>
      </c>
      <c r="F8" s="21">
        <f>MAX((F5+F6),0)</f>
        <v>854.75466067966374</v>
      </c>
      <c r="G8" s="21"/>
      <c r="H8" s="21"/>
      <c r="I8" s="21"/>
      <c r="J8" s="21">
        <f>MAX((J5+J6),0)</f>
        <v>66.633688513859283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0.1023511406267941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24.754491298262668</v>
      </c>
      <c r="C12" s="23">
        <f ca="1">C8*C10</f>
        <v>0</v>
      </c>
      <c r="D12" s="23">
        <f>D8*D10</f>
        <v>12.149544924000001</v>
      </c>
      <c r="E12" s="23">
        <f>E8*E10</f>
        <v>1.7134694130967403</v>
      </c>
      <c r="F12" s="23">
        <f>F8*F10</f>
        <v>228.21949440147023</v>
      </c>
      <c r="G12" s="23"/>
      <c r="H12" s="23"/>
      <c r="I12" s="23"/>
      <c r="J12" s="23">
        <f>J8*J10</f>
        <v>23.588325733906185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3.5953996857814502E-2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27.275947927457135</v>
      </c>
      <c r="C26" s="245">
        <f>B26*'GWP N2O_CH4'!B5</f>
        <v>572.79490647659986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7.5095542915009323</v>
      </c>
      <c r="C27" s="245">
        <f>B27*'GWP N2O_CH4'!B5</f>
        <v>157.70064012151957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0.42296483134583013</v>
      </c>
      <c r="C28" s="245">
        <f>B28*'GWP N2O_CH4'!B4</f>
        <v>131.11909771720735</v>
      </c>
      <c r="D28" s="50"/>
    </row>
    <row r="29" spans="1:4">
      <c r="A29" s="41" t="s">
        <v>271</v>
      </c>
      <c r="B29" s="245">
        <f>B34*'ha_N2O bodem landbouw'!B4</f>
        <v>3.1207090589127535</v>
      </c>
      <c r="C29" s="245">
        <f>B29*'GWP N2O_CH4'!B4</f>
        <v>967.41980826295355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6.8431530951631775E-4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3.8590385816941942E-4</v>
      </c>
      <c r="C5" s="433" t="s">
        <v>210</v>
      </c>
      <c r="D5" s="418">
        <f>SUM(D6:D11)</f>
        <v>6.037899748384583E-4</v>
      </c>
      <c r="E5" s="418">
        <f>SUM(E6:E11)</f>
        <v>5.7410745223115739E-4</v>
      </c>
      <c r="F5" s="431" t="s">
        <v>210</v>
      </c>
      <c r="G5" s="418">
        <f>SUM(G6:G11)</f>
        <v>0.31760355602630602</v>
      </c>
      <c r="H5" s="418">
        <f>SUM(H6:H11)</f>
        <v>5.4776669202731838E-2</v>
      </c>
      <c r="I5" s="433" t="s">
        <v>210</v>
      </c>
      <c r="J5" s="433" t="s">
        <v>210</v>
      </c>
      <c r="K5" s="433" t="s">
        <v>210</v>
      </c>
      <c r="L5" s="433" t="s">
        <v>210</v>
      </c>
      <c r="M5" s="418">
        <f>SUM(M6:M11)</f>
        <v>2.1933991634209313E-2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1.5627796849530595E-4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2.6381240659520839E-4</v>
      </c>
      <c r="E6" s="884">
        <f>vkm_GW_PW*SUMIFS(TableVerdeelsleutelVkm[LPG],TableVerdeelsleutelVkm[Voertuigtype],"Lichte voertuigen")*SUMIFS(TableECFTransport[EnergieConsumptieFactor (PJ per km)],TableECFTransport[Index],CONCATENATE($A6,"_LPG_LPG"))</f>
        <v>2.3117153869506692E-4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7.2213498940467566E-2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2.3532111368303344E-2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5.7205937445312677E-3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1.7855974451978424E-6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6.8151261180611336E-2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9.4732437789099431E-7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3.9284008883020832E-3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3.9884209756533241E-5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8.5969924799927003E-5</v>
      </c>
      <c r="E8" s="421">
        <f>vkm_NGW_PW*SUMIFS(TableVerdeelsleutelVkm[LPG],TableVerdeelsleutelVkm[Voertuigtype],"Lichte voertuigen")*SUMIFS(TableECFTransport[EnergieConsumptieFactor (PJ per km)],TableECFTransport[Index],CONCATENATE($A8,"_LPG_LPG"))</f>
        <v>7.2164177375430433E-5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2.0827454077990384E-2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7.5573649439839383E-3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1.700911207377348E-3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1.9316025734315746E-8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9.4777731814618259E-4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1.2369421222006045E-8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5.463208694281608E-5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1.8577147635931592E-4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2.5400764344332292E-4</v>
      </c>
      <c r="E10" s="421">
        <f>vkm_SW_PW*SUMIFS(TableVerdeelsleutelVkm[LPG],TableVerdeelsleutelVkm[Voertuigtype],"Lichte voertuigen")*SUMIFS(TableECFTransport[EnergieConsumptieFactor (PJ per km)],TableECFTransport[Index],CONCATENATE($A10,"_LPG_LPG"))</f>
        <v>2.7077173616065999E-4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7.7080500899881124E-2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2.3685050804095859E-2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6.0112612287161193E-3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2.1652900873322084E-6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7.8383063609209436E-2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1.182392549587186E-6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4.5181924783396802E-3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107.19551615817205</v>
      </c>
      <c r="C14" s="21"/>
      <c r="D14" s="21">
        <f t="shared" ref="D14:M14" si="0">((D5)*10^9/3600)+D12</f>
        <v>167.71943745512732</v>
      </c>
      <c r="E14" s="21">
        <f t="shared" si="0"/>
        <v>159.47429228643259</v>
      </c>
      <c r="F14" s="21"/>
      <c r="G14" s="21">
        <f t="shared" si="0"/>
        <v>88223.210007307236</v>
      </c>
      <c r="H14" s="21">
        <f t="shared" si="0"/>
        <v>15215.741445203288</v>
      </c>
      <c r="I14" s="21"/>
      <c r="J14" s="21"/>
      <c r="K14" s="21"/>
      <c r="L14" s="21"/>
      <c r="M14" s="21">
        <f t="shared" si="0"/>
        <v>6092.7754539470316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0.1023511406267941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10.971583348866847</v>
      </c>
      <c r="C18" s="23"/>
      <c r="D18" s="23">
        <f t="shared" ref="D18:M18" si="1">D14*D16</f>
        <v>33.879326365935718</v>
      </c>
      <c r="E18" s="23">
        <f t="shared" si="1"/>
        <v>36.200664349020201</v>
      </c>
      <c r="F18" s="23"/>
      <c r="G18" s="23">
        <f t="shared" si="1"/>
        <v>23555.597071951033</v>
      </c>
      <c r="H18" s="23">
        <f t="shared" si="1"/>
        <v>3788.7196198556189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2.7580705252784036E-5</v>
      </c>
      <c r="C50" s="315">
        <f t="shared" ref="C50:P50" si="2">SUM(C51:C52)</f>
        <v>0</v>
      </c>
      <c r="D50" s="315">
        <f t="shared" si="2"/>
        <v>0</v>
      </c>
      <c r="E50" s="315">
        <f t="shared" si="2"/>
        <v>0</v>
      </c>
      <c r="F50" s="315">
        <f t="shared" si="2"/>
        <v>0</v>
      </c>
      <c r="G50" s="315">
        <f t="shared" si="2"/>
        <v>1.9982636356163843E-3</v>
      </c>
      <c r="H50" s="315">
        <f t="shared" si="2"/>
        <v>0</v>
      </c>
      <c r="I50" s="315">
        <f t="shared" si="2"/>
        <v>0</v>
      </c>
      <c r="J50" s="315">
        <f t="shared" si="2"/>
        <v>0</v>
      </c>
      <c r="K50" s="315">
        <f t="shared" si="2"/>
        <v>0</v>
      </c>
      <c r="L50" s="315">
        <f t="shared" si="2"/>
        <v>0</v>
      </c>
      <c r="M50" s="315">
        <f t="shared" si="2"/>
        <v>1.1302774206166234E-4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2.7580705252784036E-5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1.9982636356163843E-3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1.1302774206166234E-4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7.6613070146622322</v>
      </c>
      <c r="C54" s="21">
        <f t="shared" ref="C54:P54" si="3">(C50)*10^9/3600</f>
        <v>0</v>
      </c>
      <c r="D54" s="21">
        <f t="shared" si="3"/>
        <v>0</v>
      </c>
      <c r="E54" s="21">
        <f t="shared" si="3"/>
        <v>0</v>
      </c>
      <c r="F54" s="21">
        <f t="shared" si="3"/>
        <v>0</v>
      </c>
      <c r="G54" s="21">
        <f t="shared" si="3"/>
        <v>555.07323211566234</v>
      </c>
      <c r="H54" s="21">
        <f t="shared" si="3"/>
        <v>0</v>
      </c>
      <c r="I54" s="21">
        <f t="shared" si="3"/>
        <v>0</v>
      </c>
      <c r="J54" s="21">
        <f t="shared" si="3"/>
        <v>0</v>
      </c>
      <c r="K54" s="21">
        <f t="shared" si="3"/>
        <v>0</v>
      </c>
      <c r="L54" s="21">
        <f t="shared" si="3"/>
        <v>0</v>
      </c>
      <c r="M54" s="21">
        <f t="shared" si="3"/>
        <v>31.39659501712843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0.1023511406267941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0.78414351164273821</v>
      </c>
      <c r="C58" s="23">
        <f t="shared" ref="C58:P58" ca="1" si="4">C54*C56</f>
        <v>0</v>
      </c>
      <c r="D58" s="23">
        <f t="shared" si="4"/>
        <v>0</v>
      </c>
      <c r="E58" s="23">
        <f t="shared" si="4"/>
        <v>0</v>
      </c>
      <c r="F58" s="23">
        <f t="shared" si="4"/>
        <v>0</v>
      </c>
      <c r="G58" s="23">
        <f t="shared" si="4"/>
        <v>148.20455297488186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30513.202782287866</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9912.8754558833371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40426.078238171205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2021-06-29T15:30:54Z</dcterms:modified>
</cp:coreProperties>
</file>