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9" i="20"/>
  <c r="C10" i="17"/>
  <c r="C12" i="17" s="1"/>
  <c r="D54" i="14" s="1"/>
  <c r="D56" i="14" s="1"/>
  <c r="C17" i="49"/>
  <c r="C20" i="16"/>
  <c r="C22" i="16" s="1"/>
  <c r="D43" i="14" s="1"/>
  <c r="C18" i="15"/>
  <c r="C20" i="15" s="1"/>
  <c r="D40"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<sst xmlns="http://schemas.openxmlformats.org/spreadsheetml/2006/main" count="2501" uniqueCount="917">
  <si>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</si>
  <si>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</si>
  <si>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</si>
  <si>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</si>
  <si>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</si>
  <si>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</si>
  <si>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</si>
  <si>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</si>
  <si>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</si>
  <si>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</si>
  <si>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</si>
  <si>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</si>
  <si>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</si>
  <si>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</si>
  <si>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</si>
  <si>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</si>
  <si>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</si>
  <si>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</si>
  <si>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</si>
  <si>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</si>
  <si>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</si>
  <si>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</si>
  <si>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</si>
  <si>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</si>
  <si>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</si>
  <si>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</si>
  <si>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</si>
  <si>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</si>
  <si>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</si>
  <si>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</si>
  <si>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</si>
  <si>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</si>
  <si>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</si>
  <si>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</si>
  <si>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</si>
  <si>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</si>
  <si>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</si>
  <si>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</si>
  <si>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</si>
  <si>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</si>
  <si>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</si>
  <si>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</si>
  <si>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</si>
  <si>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</si>
  <si>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</si>
  <si>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</si>
  <si>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</si>
  <si>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</si>
  <si>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</si>
  <si>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</si>
  <si>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</si>
  <si>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</si>
  <si>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</si>
  <si>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</si>
  <si>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</si>
  <si>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</si>
  <si>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</si>
  <si>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</si>
  <si>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</si>
  <si>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</si>
  <si>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</si>
  <si>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</si>
  <si>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</si>
  <si>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</si>
  <si>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</si>
  <si>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</si>
  <si>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</si>
  <si>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</si>
  <si>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</si>
  <si>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</si>
  <si>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</si>
  <si>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</si>
  <si>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</si>
  <si>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</si>
  <si>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</si>
  <si>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</si>
  <si>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</si>
  <si>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</si>
  <si>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</si>
  <si>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</si>
  <si>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</si>
  <si>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</si>
  <si>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</si>
  <si>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</si>
  <si>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</si>
  <si>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</si>
  <si>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</si>
  <si>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</si>
  <si>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</si>
  <si>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</si>
  <si>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</si>
  <si>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</si>
  <si>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</si>
  <si>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</si>
  <si>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</si>
  <si>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</si>
  <si>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</si>
  <si>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</si>
  <si>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</si>
  <si>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</si>
  <si>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</si>
  <si>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</si>
  <si>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</si>
  <si>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</si>
  <si>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</si>
  <si>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</si>
  <si>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</si>
  <si>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</si>
  <si>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</si>
  <si>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</si>
  <si>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</si>
  <si>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</si>
  <si>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</si>
  <si>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</si>
  <si>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</si>
  <si>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</si>
  <si>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</si>
  <si>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</si>
  <si>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</si>
  <si>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</si>
  <si>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</si>
  <si>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</si>
  <si>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</si>
  <si>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</si>
  <si>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</si>
  <si>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</si>
  <si>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</si>
  <si>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</si>
  <si>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</si>
  <si>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</si>
  <si>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</si>
  <si>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</si>
  <si>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</si>
  <si>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</si>
  <si>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</si>
  <si>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</si>
  <si>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</si>
  <si>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</si>
  <si>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</si>
  <si>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</si>
  <si>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</si>
  <si>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</si>
  <si>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</si>
  <si>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</si>
  <si>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</si>
  <si>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</si>
  <si>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</si>
  <si>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</si>
  <si>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</si>
  <si>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</si>
  <si>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</si>
  <si>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</si>
  <si>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</si>
  <si>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</si>
  <si>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</si>
  <si>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</si>
  <si>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</si>
  <si>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</si>
  <si>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</si>
  <si>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</si>
  <si>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</si>
  <si>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</si>
  <si>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</si>
  <si>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</si>
  <si>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</si>
  <si>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</si>
  <si>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</si>
  <si>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</si>
  <si>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</si>
  <si>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</si>
  <si>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</si>
  <si>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</si>
  <si>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</si>
  <si>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</si>
  <si>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</si>
  <si>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</si>
  <si>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</si>
  <si>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</si>
  <si>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</si>
  <si>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</si>
  <si>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</si>
  <si>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</si>
  <si>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</si>
  <si>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</si>
  <si>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</si>
  <si>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</si>
  <si>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</si>
  <si>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</si>
  <si>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</si>
  <si>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</si>
  <si>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</si>
  <si>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</si>
  <si>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</si>
  <si>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</si>
  <si>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</si>
  <si>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</si>
  <si>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</si>
  <si>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</si>
  <si>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</si>
  <si>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</si>
  <si>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</si>
  <si>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</si>
  <si>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</si>
  <si>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</si>
  <si>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</si>
  <si>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</si>
  <si>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</si>
  <si>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</si>
  <si>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</si>
  <si>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</si>
  <si>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</si>
  <si>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</si>
  <si>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</si>
  <si>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</si>
  <si>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</si>
  <si>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</si>
  <si>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</si>
  <si>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</si>
  <si>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</si>
  <si>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</si>
  <si>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</si>
  <si>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</si>
  <si>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</si>
  <si>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</si>
  <si>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</si>
  <si>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</si>
  <si>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</si>
  <si>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</si>
  <si>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</si>
  <si>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</si>
  <si>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</si>
  <si>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</si>
  <si>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</si>
  <si>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</si>
  <si>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</si>
  <si>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</si>
  <si>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</si>
  <si>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</si>
  <si>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</si>
  <si>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</si>
  <si>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</si>
  <si>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</si>
  <si>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</si>
  <si>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</si>
  <si>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</si>
  <si>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</si>
  <si>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</si>
  <si>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</si>
  <si>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</si>
  <si>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</si>
  <si>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</si>
  <si>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</si>
  <si>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</si>
  <si>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</si>
  <si>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</si>
  <si>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</si>
  <si>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</si>
  <si>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</si>
  <si>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</si>
  <si>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</si>
  <si>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</si>
  <si>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</si>
  <si>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</si>
  <si>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</si>
  <si>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</si>
  <si>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</si>
  <si>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</si>
  <si>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</si>
  <si>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</si>
  <si>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</si>
  <si>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</si>
  <si>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</si>
  <si>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</si>
  <si>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</si>
  <si>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</si>
  <si>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</si>
  <si>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</si>
  <si>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</si>
  <si>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</si>
  <si>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</si>
  <si>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</si>
  <si>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</si>
  <si>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</si>
  <si>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</si>
  <si>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</si>
  <si>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</si>
  <si>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</si>
  <si>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</si>
  <si>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</si>
  <si>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</si>
  <si>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</si>
  <si>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</si>
  <si>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</si>
  <si>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</si>
  <si>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</si>
  <si>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</si>
  <si>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</si>
  <si>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</si>
  <si>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</si>
  <si>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</si>
  <si>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</si>
  <si>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</si>
  <si>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</si>
  <si>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</si>
  <si>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</si>
  <si>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</si>
  <si>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</si>
  <si>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</si>
  <si>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</si>
  <si>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</si>
  <si>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</si>
  <si>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</si>
  <si>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</si>
  <si>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</si>
  <si>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</si>
  <si>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</si>
  <si>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</si>
  <si>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</si>
  <si>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</si>
  <si>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</si>
  <si>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</si>
  <si>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</si>
  <si>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</si>
  <si>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</si>
  <si>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</si>
  <si>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</si>
  <si>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</si>
  <si>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</si>
  <si>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</si>
  <si>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</si>
  <si>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</si>
  <si>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</si>
  <si>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</si>
  <si>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</si>
  <si>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</si>
  <si>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</si>
  <si>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</si>
  <si>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</si>
  <si>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</si>
  <si>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</si>
  <si>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</si>
  <si>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</si>
  <si>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</si>
  <si>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</si>
  <si>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</si>
  <si>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</si>
  <si>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</si>
  <si>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</si>
  <si>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</si>
  <si>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</si>
  <si>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</si>
  <si>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</si>
  <si>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</si>
  <si>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</si>
  <si>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</si>
  <si>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</si>
  <si>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</si>
  <si>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</si>
  <si>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</si>
  <si>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</si>
  <si>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</si>
  <si>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</si>
  <si>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</si>
  <si>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</si>
  <si>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</si>
  <si>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</si>
  <si>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</si>
  <si>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</si>
  <si>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</si>
  <si>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</si>
  <si>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</si>
  <si>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</si>
  <si>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</si>
  <si>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</si>
  <si>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</si>
  <si>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</si>
  <si>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</si>
  <si>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</si>
  <si>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</si>
  <si>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</si>
  <si>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</si>
  <si>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</si>
  <si>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</si>
  <si>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</si>
  <si>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</si>
  <si>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</si>
  <si>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</si>
  <si>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</si>
  <si>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</si>
  <si>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</si>
  <si>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</si>
  <si>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</si>
  <si>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</si>
  <si>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</si>
  <si>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</si>
  <si>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</si>
  <si>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</si>
  <si>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</si>
  <si>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</si>
  <si>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</si>
  <si>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</si>
  <si>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</si>
  <si>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</si>
  <si>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</si>
  <si>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</si>
  <si>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</si>
  <si>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</si>
  <si>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</si>
  <si>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</si>
  <si>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</si>
  <si>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</si>
  <si>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</si>
  <si>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</si>
  <si>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</si>
  <si>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</si>
  <si>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</si>
  <si>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</si>
  <si>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</si>
  <si>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</si>
  <si>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</si>
  <si>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</si>
  <si>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</si>
  <si>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</si>
  <si>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</si>
  <si>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</si>
  <si>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</si>
  <si>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</si>
  <si>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</si>
  <si>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</si>
  <si>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</si>
  <si>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</si>
  <si>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</si>
  <si>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</si>
  <si>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</si>
  <si>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</si>
  <si>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</si>
  <si>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</si>
  <si>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</si>
  <si>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</si>
  <si>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</si>
  <si>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</si>
  <si>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</si>
  <si>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</si>
  <si>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</si>
  <si>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</si>
  <si>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</si>
  <si>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</si>
  <si>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</si>
  <si>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</si>
  <si>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</si>
  <si>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</si>
  <si>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</si>
  <si>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</si>
  <si>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</si>
  <si>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</si>
  <si>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</si>
  <si>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</si>
  <si>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</si>
  <si>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</si>
  <si>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</si>
  <si>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</si>
  <si>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</si>
  <si>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</si>
  <si>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</si>
  <si>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</si>
  <si>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</si>
  <si>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</si>
  <si>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</si>
  <si>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</si>
  <si>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</si>
  <si>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</si>
  <si>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</si>
  <si>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</si>
  <si>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</si>
  <si>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</si>
  <si>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</si>
  <si>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</si>
  <si>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</si>
  <si>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</si>
  <si>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</si>
  <si>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</si>
  <si>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</si>
  <si>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</si>
  <si>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</si>
  <si>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</si>
  <si>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</si>
  <si>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</si>
  <si>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</si>
  <si>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</si>
  <si>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</si>
  <si>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</si>
  <si>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</si>
  <si>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</si>
  <si>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</si>
  <si>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</si>
  <si>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</si>
  <si>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</si>
  <si>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</si>
  <si>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</si>
  <si>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</si>
  <si>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</si>
  <si>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</si>
  <si>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</si>
  <si>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</si>
  <si>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</si>
  <si>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</si>
  <si>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</si>
  <si>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</si>
  <si>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</si>
  <si>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</si>
  <si>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</si>
  <si>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</si>
  <si>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</si>
  <si>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</si>
  <si>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</si>
  <si>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</si>
  <si>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</si>
  <si>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</si>
  <si>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</si>
  <si>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</si>
  <si>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</si>
  <si>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</si>
  <si>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</si>
  <si>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</si>
  <si>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</si>
  <si>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</si>
  <si>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</si>
  <si>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</si>
  <si>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</si>
  <si>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</si>
  <si>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</si>
  <si>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</si>
  <si>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</si>
  <si>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</si>
  <si>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</si>
  <si>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</si>
  <si>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</si>
  <si>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</si>
  <si>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</si>
  <si>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</si>
  <si>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</si>
  <si>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</si>
  <si>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</si>
  <si>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</si>
  <si>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</si>
  <si>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</si>
  <si>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</si>
  <si>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</si>
  <si>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</si>
  <si>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</si>
  <si>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</si>
  <si>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</si>
  <si>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</si>
  <si>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</si>
  <si>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</si>
  <si>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</si>
  <si>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</si>
  <si>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</si>
  <si>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</si>
  <si>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</si>
  <si>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</si>
  <si>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</si>
  <si>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</si>
  <si>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</si>
  <si>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</si>
  <si>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</si>
  <si>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</si>
  <si>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</si>
  <si>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</si>
  <si>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</si>
  <si>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</si>
  <si>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</si>
  <si>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</si>
  <si>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</si>
  <si>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</si>
  <si>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</si>
  <si>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</si>
  <si>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</si>
  <si>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</si>
  <si>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</si>
  <si>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</si>
  <si>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</si>
  <si>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</si>
  <si>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</si>
  <si>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</si>
  <si>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</si>
  <si>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</si>
  <si>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</si>
  <si>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</si>
  <si>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</si>
  <si>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</si>
  <si>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</si>
  <si>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</si>
  <si>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</si>
  <si>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</si>
  <si>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</si>
  <si>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</si>
  <si>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</si>
  <si>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</si>
  <si>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</si>
  <si>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</si>
  <si>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</si>
  <si>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</si>
  <si>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</si>
  <si>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</si>
  <si>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</si>
  <si>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</si>
  <si>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</si>
  <si>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</si>
  <si>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</si>
  <si>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</si>
  <si>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</si>
  <si>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</si>
  <si>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</si>
  <si>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</si>
  <si>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</si>
  <si>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</si>
  <si>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</si>
  <si>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</si>
  <si>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</si>
  <si>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</si>
  <si>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</si>
  <si>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</si>
  <si>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</si>
  <si>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</si>
  <si>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</si>
  <si>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</si>
  <si>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</si>
  <si>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</si>
  <si>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</si>
  <si>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</si>
  <si>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</si>
  <si>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</si>
  <si>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</si>
  <si>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</si>
  <si>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</si>
  <si>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</si>
  <si>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</si>
  <si>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</si>
  <si>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</si>
  <si>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</si>
  <si>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</si>
  <si>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</si>
  <si>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</si>
  <si>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</si>
  <si>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</si>
  <si>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</si>
  <si>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</si>
  <si>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</si>
  <si>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</si>
  <si>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</si>
  <si>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</si>
  <si>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</si>
  <si>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</si>
  <si>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</si>
  <si>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</si>
  <si>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</si>
  <si>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</si>
  <si>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</si>
  <si>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</si>
  <si>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</si>
  <si>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</si>
  <si>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</si>
  <si>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</si>
  <si>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</si>
  <si>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</si>
  <si>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</si>
  <si>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</si>
  <si>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</si>
  <si>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</si>
  <si>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</si>
  <si>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</si>
  <si>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</si>
  <si>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</si>
  <si>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</si>
  <si>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</si>
  <si>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</si>
  <si>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</si>
  <si>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</si>
  <si>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</si>
  <si>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</si>
  <si>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</si>
  <si>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</si>
  <si>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</si>
  <si>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</si>
  <si>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</si>
  <si>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</si>
  <si>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</si>
  <si>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</si>
  <si>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</si>
  <si>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</si>
  <si>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</si>
  <si>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</si>
  <si>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</si>
  <si>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</si>
  <si>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</si>
  <si>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</si>
  <si>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</si>
  <si>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</si>
  <si>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</si>
  <si>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</si>
  <si>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</si>
  <si>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</si>
  <si>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</si>
  <si>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</si>
  <si>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</si>
  <si>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</si>
  <si>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</si>
  <si>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</si>
  <si>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</si>
  <si>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</si>
  <si>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</si>
  <si>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</si>
  <si>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</si>
  <si>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</si>
  <si>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</si>
  <si>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</si>
  <si>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</si>
  <si>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</si>
  <si>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</si>
  <si>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</si>
  <si>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</si>
  <si>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</si>
  <si>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</si>
  <si>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</si>
  <si>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</si>
  <si>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</si>
  <si>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</si>
  <si>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</si>
  <si>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</si>
  <si>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</si>
  <si>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</si>
  <si>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</si>
  <si>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</si>
  <si>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</si>
  <si>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</si>
  <si>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</si>
  <si>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</si>
  <si>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</si>
  <si>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</si>
  <si>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</si>
  <si>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</si>
  <si>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</si>
  <si>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</si>
  <si>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</si>
  <si>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</si>
  <si>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</si>
  <si>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</si>
  <si>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</si>
  <si>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</si>
  <si>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</si>
  <si>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</si>
  <si>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</si>
  <si>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</si>
  <si>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</si>
  <si>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</si>
  <si>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</si>
  <si>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</si>
  <si>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</si>
  <si>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</si>
  <si>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</si>
  <si>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</si>
  <si>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</si>
  <si>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</si>
  <si>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</si>
  <si>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</si>
  <si>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</si>
  <si>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</si>
  <si>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</si>
  <si>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</si>
  <si>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</si>
  <si>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</si>
  <si>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</si>
  <si>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</si>
  <si>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</si>
  <si>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</si>
  <si>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</si>
  <si>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</si>
  <si>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</si>
  <si>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</si>
  <si>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</si>
  <si>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</si>
  <si>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</si>
  <si>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</si>
  <si>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</si>
  <si>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</si>
  <si>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</si>
  <si>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</si>
  <si>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</si>
  <si>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</si>
  <si>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</si>
  <si>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</si>
  <si>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</si>
  <si>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</si>
  <si>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</si>
  <si>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</si>
  <si>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</si>
  <si>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</si>
  <si>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</si>
  <si>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</si>
  <si>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</si>
  <si>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</si>
  <si>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</si>
  <si>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</si>
  <si>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</si>
  <si>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</si>
  <si>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</si>
  <si>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</si>
  <si>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</si>
  <si>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</si>
  <si>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</si>
  <si>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</si>
  <si>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</si>
  <si>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</si>
  <si>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</si>
  <si>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</si>
  <si>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</si>
  <si>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</si>
  <si>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</si>
  <si>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</si>
  <si>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</si>
  <si>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</si>
  <si>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</si>
  <si>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</si>
  <si>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</si>
  <si>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</si>
  <si>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</si>
  <si>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</si>
  <si>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</si>
  <si>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</si>
  <si>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</si>
  <si>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</si>
  <si>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</si>
  <si>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</si>
  <si>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</si>
  <si>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</si>
  <si>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</si>
  <si>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</si>
  <si>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</si>
  <si>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</si>
  <si>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</si>
  <si>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</si>
  <si>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</si>
  <si>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</si>
  <si>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</si>
  <si>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</si>
  <si>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</si>
  <si>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</si>
  <si>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</si>
  <si>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</si>
  <si>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</si>
  <si>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</si>
  <si>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</si>
  <si>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</si>
  <si>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</si>
  <si>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</si>
  <si>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</si>
  <si>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</si>
  <si>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</si>
  <si>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</si>
  <si>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</si>
  <si>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</si>
  <si>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</si>
  <si>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</si>
  <si>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</si>
  <si>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</si>
  <si>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</si>
  <si>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</si>
  <si>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</si>
  <si>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</si>
  <si>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</si>
  <si>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</si>
  <si>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</si>
  <si>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</si>
  <si>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</si>
  <si>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</si>
  <si>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</si>
  <si>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</si>
  <si>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</si>
  <si>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</si>
  <si>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</si>
  <si>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</si>
  <si>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</si>
  <si>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</si>
  <si>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</si>
  <si>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</si>
  <si>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</si>
  <si>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</si>
  <si>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</si>
  <si>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</si>
  <si>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</si>
  <si>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</si>
  <si>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</si>
  <si>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</si>
  <si>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</si>
  <si>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</si>
  <si>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</si>
  <si>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</si>
  <si>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</si>
  <si>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</si>
  <si>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</si>
  <si>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</si>
  <si>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</si>
  <si>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37017</t>
  </si>
  <si>
    <t>WIELSBEKE</t>
  </si>
  <si>
    <t>referentietaak LNE (2017); Jaarverslag De Lijn</t>
  </si>
  <si>
    <t>B &amp; N Knauf &amp; Cie - Isolava GCV</t>
  </si>
  <si>
    <t>Ooigemstraat 12 , 8710 Wielsbeke</t>
  </si>
  <si>
    <t>WKK-0224 B&amp;N Knauf &amp; Cie Isolava</t>
  </si>
  <si>
    <t>interne verbrandingsmotor</t>
  </si>
  <si>
    <t>WKK interne verbrandinsgmotor (gas)</t>
  </si>
  <si>
    <t>GASELWEST</t>
  </si>
  <si>
    <t>Knauf Isolava</t>
  </si>
  <si>
    <t>WKK-0778</t>
  </si>
  <si>
    <t>Interne verbrandingsmotor</t>
  </si>
  <si>
    <t>Vaartstraat 60, 8710 Wielsbeke,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</si>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</sst>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75737.505396386638</c:v>
                </c:pt>
                <c:pt idx="1">
                  <c:v>24295.401607848435</c:v>
                </c:pt>
                <c:pt idx="2">
                  <c:v>948.57399999999996</c:v>
                </c:pt>
                <c:pt idx="3">
                  <c:v>5478.2909960280631</c:v>
                </c:pt>
                <c:pt idx="4">
                  <c:v>955239.34935500391</c:v>
                </c:pt>
                <c:pt idx="5">
                  <c:v>49752.115919827731</c:v>
                </c:pt>
                <c:pt idx="6">
                  <c:v>384.10655919032615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75737.505396386638</c:v>
                </c:pt>
                <c:pt idx="1">
                  <c:v>24295.401607848435</c:v>
                </c:pt>
                <c:pt idx="2">
                  <c:v>948.57399999999996</c:v>
                </c:pt>
                <c:pt idx="3">
                  <c:v>5478.2909960280631</c:v>
                </c:pt>
                <c:pt idx="4">
                  <c:v>955239.34935500391</c:v>
                </c:pt>
                <c:pt idx="5">
                  <c:v>49752.115919827731</c:v>
                </c:pt>
                <c:pt idx="6">
                  <c:v>384.10655919032615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15613.229148030114</c:v>
                </c:pt>
                <c:pt idx="1">
                  <c:v>4701.6341958790781</c:v>
                </c:pt>
                <c:pt idx="2">
                  <c:v>195.41644950600309</c:v>
                </c:pt>
                <c:pt idx="3">
                  <c:v>1407.7387769730424</c:v>
                </c:pt>
                <c:pt idx="4">
                  <c:v>201494.10888871658</c:v>
                </c:pt>
                <c:pt idx="5">
                  <c:v>12421.518160149602</c:v>
                </c:pt>
                <c:pt idx="6">
                  <c:v>96.834818878003304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15613.229148030114</c:v>
                </c:pt>
                <c:pt idx="1">
                  <c:v>4701.6341958790781</c:v>
                </c:pt>
                <c:pt idx="2">
                  <c:v>195.41644950600309</c:v>
                </c:pt>
                <c:pt idx="3">
                  <c:v>1407.7387769730424</c:v>
                </c:pt>
                <c:pt idx="4">
                  <c:v>201494.10888871658</c:v>
                </c:pt>
                <c:pt idx="5">
                  <c:v>12421.518160149602</c:v>
                </c:pt>
                <c:pt idx="6">
                  <c:v>96.834818878003304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37017</v>
      </c>
      <c r="B6" s="386"/>
      <c r="C6" s="387"/>
    </row>
    <row r="7" spans="1:7" s="384" customFormat="1" ht="15.75" customHeight="1">
      <c r="A7" s="388" t="str">
        <f>txtMunicipality</f>
        <v>WIELSBEKE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13297.7058</v>
      </c>
      <c r="D10" s="681">
        <f ca="1">tertiair!C16</f>
        <v>0</v>
      </c>
      <c r="E10" s="681">
        <f ca="1">tertiair!D16</f>
        <v>8546.7904292320018</v>
      </c>
      <c r="F10" s="681">
        <f>tertiair!E16</f>
        <v>137.65038628289707</v>
      </c>
      <c r="G10" s="681">
        <f ca="1">tertiair!F16</f>
        <v>1497.6399426809555</v>
      </c>
      <c r="H10" s="681">
        <f>tertiair!G16</f>
        <v>0</v>
      </c>
      <c r="I10" s="681">
        <f>tertiair!H16</f>
        <v>0</v>
      </c>
      <c r="J10" s="681">
        <f>tertiair!I16</f>
        <v>0</v>
      </c>
      <c r="K10" s="681">
        <f>tertiair!J16</f>
        <v>3.393872462924076E-2</v>
      </c>
      <c r="L10" s="681">
        <f>tertiair!K16</f>
        <v>0</v>
      </c>
      <c r="M10" s="681">
        <f ca="1">tertiair!L16</f>
        <v>0</v>
      </c>
      <c r="N10" s="681">
        <f>tertiair!M16</f>
        <v>0</v>
      </c>
      <c r="O10" s="681">
        <f ca="1">tertiair!N16</f>
        <v>1329.1502221784713</v>
      </c>
      <c r="P10" s="681">
        <f>tertiair!O16</f>
        <v>14.691782297523464</v>
      </c>
      <c r="Q10" s="682">
        <f>tertiair!P16</f>
        <v>420.31310645196015</v>
      </c>
      <c r="R10" s="684">
        <f ca="1">SUM(C10:Q10)</f>
        <v>25243.975607848435</v>
      </c>
      <c r="S10" s="67"/>
    </row>
    <row r="11" spans="1:19" s="444" customFormat="1">
      <c r="A11" s="802" t="s">
        <v>219</v>
      </c>
      <c r="B11" s="807"/>
      <c r="C11" s="681">
        <f>huishoudens!B8</f>
        <v>15533.496801674322</v>
      </c>
      <c r="D11" s="681">
        <f>huishoudens!C8</f>
        <v>0</v>
      </c>
      <c r="E11" s="681">
        <f>huishoudens!D8</f>
        <v>30263.533332119998</v>
      </c>
      <c r="F11" s="681">
        <f>huishoudens!E8</f>
        <v>1383.3241918629255</v>
      </c>
      <c r="G11" s="681">
        <f>huishoudens!F8</f>
        <v>22301.029676076221</v>
      </c>
      <c r="H11" s="681">
        <f>huishoudens!G8</f>
        <v>0</v>
      </c>
      <c r="I11" s="681">
        <f>huishoudens!H8</f>
        <v>0</v>
      </c>
      <c r="J11" s="681">
        <f>huishoudens!I8</f>
        <v>0</v>
      </c>
      <c r="K11" s="681">
        <f>huishoudens!J8</f>
        <v>89.091630344625159</v>
      </c>
      <c r="L11" s="681">
        <f>huishoudens!K8</f>
        <v>0</v>
      </c>
      <c r="M11" s="681">
        <f>huishoudens!L8</f>
        <v>0</v>
      </c>
      <c r="N11" s="681">
        <f>huishoudens!M8</f>
        <v>0</v>
      </c>
      <c r="O11" s="681">
        <f>huishoudens!N8</f>
        <v>5331.448484910673</v>
      </c>
      <c r="P11" s="681">
        <f>huishoudens!O8</f>
        <v>319.41727332131211</v>
      </c>
      <c r="Q11" s="682">
        <f>huishoudens!P8</f>
        <v>516.16400607656612</v>
      </c>
      <c r="R11" s="684">
        <f>SUM(C11:Q11)</f>
        <v>75737.505396386638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353637.49373599997</v>
      </c>
      <c r="D13" s="681">
        <f>industrie!C18</f>
        <v>4204.2857142857147</v>
      </c>
      <c r="E13" s="681">
        <f>industrie!D18</f>
        <v>377962.54301377462</v>
      </c>
      <c r="F13" s="681">
        <f>industrie!E18</f>
        <v>48653.226574283537</v>
      </c>
      <c r="G13" s="681">
        <f>industrie!F18</f>
        <v>150229.02762949854</v>
      </c>
      <c r="H13" s="681">
        <f>industrie!G18</f>
        <v>0</v>
      </c>
      <c r="I13" s="681">
        <f>industrie!H18</f>
        <v>0</v>
      </c>
      <c r="J13" s="681">
        <f>industrie!I18</f>
        <v>0</v>
      </c>
      <c r="K13" s="681">
        <f>industrie!J18</f>
        <v>389.76789777570849</v>
      </c>
      <c r="L13" s="681">
        <f>industrie!K18</f>
        <v>0</v>
      </c>
      <c r="M13" s="681">
        <f>industrie!L18</f>
        <v>0</v>
      </c>
      <c r="N13" s="681">
        <f>industrie!M18</f>
        <v>0</v>
      </c>
      <c r="O13" s="681">
        <f>industrie!N18</f>
        <v>20163.004789385774</v>
      </c>
      <c r="P13" s="681">
        <f>industrie!O18</f>
        <v>0</v>
      </c>
      <c r="Q13" s="682">
        <f>industrie!P18</f>
        <v>0</v>
      </c>
      <c r="R13" s="684">
        <f>SUM(C13:Q13)</f>
        <v>955239.34935500391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382468.69633767428</v>
      </c>
      <c r="D16" s="717">
        <f t="shared" ref="D16:R16" ca="1" si="0">SUM(D9:D15)</f>
        <v>4204.2857142857147</v>
      </c>
      <c r="E16" s="717">
        <f t="shared" ca="1" si="0"/>
        <v>416772.8667751266</v>
      </c>
      <c r="F16" s="717">
        <f t="shared" si="0"/>
        <v>50174.201152429363</v>
      </c>
      <c r="G16" s="717">
        <f t="shared" ca="1" si="0"/>
        <v>174027.69724825572</v>
      </c>
      <c r="H16" s="717">
        <f t="shared" si="0"/>
        <v>0</v>
      </c>
      <c r="I16" s="717">
        <f t="shared" si="0"/>
        <v>0</v>
      </c>
      <c r="J16" s="717">
        <f t="shared" si="0"/>
        <v>0</v>
      </c>
      <c r="K16" s="717">
        <f t="shared" si="0"/>
        <v>478.89346684496286</v>
      </c>
      <c r="L16" s="717">
        <f t="shared" si="0"/>
        <v>0</v>
      </c>
      <c r="M16" s="717">
        <f t="shared" ca="1" si="0"/>
        <v>0</v>
      </c>
      <c r="N16" s="717">
        <f t="shared" si="0"/>
        <v>0</v>
      </c>
      <c r="O16" s="717">
        <f t="shared" ca="1" si="0"/>
        <v>26823.60349647492</v>
      </c>
      <c r="P16" s="717">
        <f t="shared" si="0"/>
        <v>334.10905561883555</v>
      </c>
      <c r="Q16" s="717">
        <f t="shared" si="0"/>
        <v>936.47711252852628</v>
      </c>
      <c r="R16" s="717">
        <f t="shared" ca="1" si="0"/>
        <v>1056220.8303592389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4.9530450554915353</v>
      </c>
      <c r="D19" s="681">
        <f>transport!C54</f>
        <v>0</v>
      </c>
      <c r="E19" s="681">
        <f>transport!D54</f>
        <v>0</v>
      </c>
      <c r="F19" s="681">
        <f>transport!E54</f>
        <v>0</v>
      </c>
      <c r="G19" s="681">
        <f>transport!F54</f>
        <v>0</v>
      </c>
      <c r="H19" s="681">
        <f>transport!G54</f>
        <v>358.85557418656663</v>
      </c>
      <c r="I19" s="681">
        <f>transport!H54</f>
        <v>0</v>
      </c>
      <c r="J19" s="681">
        <f>transport!I54</f>
        <v>0</v>
      </c>
      <c r="K19" s="681">
        <f>transport!J54</f>
        <v>0</v>
      </c>
      <c r="L19" s="681">
        <f>transport!K54</f>
        <v>0</v>
      </c>
      <c r="M19" s="681">
        <f>transport!L54</f>
        <v>0</v>
      </c>
      <c r="N19" s="681">
        <f>transport!M54</f>
        <v>20.297939948267967</v>
      </c>
      <c r="O19" s="681">
        <f>transport!N54</f>
        <v>0</v>
      </c>
      <c r="P19" s="681">
        <f>transport!O54</f>
        <v>0</v>
      </c>
      <c r="Q19" s="682">
        <f>transport!P54</f>
        <v>0</v>
      </c>
      <c r="R19" s="684">
        <f>SUM(C19:Q19)</f>
        <v>384.10655919032615</v>
      </c>
      <c r="S19" s="67"/>
    </row>
    <row r="20" spans="1:19" s="444" customFormat="1">
      <c r="A20" s="802" t="s">
        <v>301</v>
      </c>
      <c r="B20" s="807"/>
      <c r="C20" s="681">
        <f>transport!B14</f>
        <v>39.337721040755454</v>
      </c>
      <c r="D20" s="681">
        <f>transport!C14</f>
        <v>0</v>
      </c>
      <c r="E20" s="681">
        <f>transport!D14</f>
        <v>73.468489729425883</v>
      </c>
      <c r="F20" s="681">
        <f>transport!E14</f>
        <v>63.02969905735285</v>
      </c>
      <c r="G20" s="681">
        <f>transport!F14</f>
        <v>0</v>
      </c>
      <c r="H20" s="681">
        <f>transport!G14</f>
        <v>40315.27163552092</v>
      </c>
      <c r="I20" s="681">
        <f>transport!H14</f>
        <v>6506.3785666408812</v>
      </c>
      <c r="J20" s="681">
        <f>transport!I14</f>
        <v>0</v>
      </c>
      <c r="K20" s="681">
        <f>transport!J14</f>
        <v>0</v>
      </c>
      <c r="L20" s="681">
        <f>transport!K14</f>
        <v>0</v>
      </c>
      <c r="M20" s="681">
        <f>transport!L14</f>
        <v>0</v>
      </c>
      <c r="N20" s="681">
        <f>transport!M14</f>
        <v>2754.6298078384016</v>
      </c>
      <c r="O20" s="681">
        <f>transport!N14</f>
        <v>0</v>
      </c>
      <c r="P20" s="681">
        <f>transport!O14</f>
        <v>0</v>
      </c>
      <c r="Q20" s="682">
        <f>transport!P14</f>
        <v>0</v>
      </c>
      <c r="R20" s="684">
        <f>SUM(C20:Q20)</f>
        <v>49752.115919827731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44.29076609624699</v>
      </c>
      <c r="D22" s="805">
        <f t="shared" ref="D22:R22" si="1">SUM(D18:D21)</f>
        <v>0</v>
      </c>
      <c r="E22" s="805">
        <f t="shared" si="1"/>
        <v>73.468489729425883</v>
      </c>
      <c r="F22" s="805">
        <f t="shared" si="1"/>
        <v>63.02969905735285</v>
      </c>
      <c r="G22" s="805">
        <f t="shared" si="1"/>
        <v>0</v>
      </c>
      <c r="H22" s="805">
        <f t="shared" si="1"/>
        <v>40674.127209707483</v>
      </c>
      <c r="I22" s="805">
        <f t="shared" si="1"/>
        <v>6506.3785666408812</v>
      </c>
      <c r="J22" s="805">
        <f t="shared" si="1"/>
        <v>0</v>
      </c>
      <c r="K22" s="805">
        <f t="shared" si="1"/>
        <v>0</v>
      </c>
      <c r="L22" s="805">
        <f t="shared" si="1"/>
        <v>0</v>
      </c>
      <c r="M22" s="805">
        <f t="shared" si="1"/>
        <v>0</v>
      </c>
      <c r="N22" s="805">
        <f t="shared" si="1"/>
        <v>2774.9277477866694</v>
      </c>
      <c r="O22" s="805">
        <f t="shared" si="1"/>
        <v>0</v>
      </c>
      <c r="P22" s="805">
        <f t="shared" si="1"/>
        <v>0</v>
      </c>
      <c r="Q22" s="805">
        <f t="shared" si="1"/>
        <v>0</v>
      </c>
      <c r="R22" s="805">
        <f t="shared" si="1"/>
        <v>50136.222479018055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1089.508178</v>
      </c>
      <c r="D24" s="681">
        <f>+landbouw!C8</f>
        <v>0</v>
      </c>
      <c r="E24" s="681">
        <f>+landbouw!D8</f>
        <v>204.169974844</v>
      </c>
      <c r="F24" s="681">
        <f>+landbouw!E8</f>
        <v>34.003190959905957</v>
      </c>
      <c r="G24" s="681">
        <f>+landbouw!F8</f>
        <v>3850.4425935121603</v>
      </c>
      <c r="H24" s="681">
        <f>+landbouw!G8</f>
        <v>0</v>
      </c>
      <c r="I24" s="681">
        <f>+landbouw!H8</f>
        <v>0</v>
      </c>
      <c r="J24" s="681">
        <f>+landbouw!I8</f>
        <v>0</v>
      </c>
      <c r="K24" s="681">
        <f>+landbouw!J8</f>
        <v>300.16705871199707</v>
      </c>
      <c r="L24" s="681">
        <f>+landbouw!K8</f>
        <v>0</v>
      </c>
      <c r="M24" s="681">
        <f>+landbouw!L8</f>
        <v>0</v>
      </c>
      <c r="N24" s="681">
        <f>+landbouw!M8</f>
        <v>0</v>
      </c>
      <c r="O24" s="681">
        <f>+landbouw!N8</f>
        <v>0</v>
      </c>
      <c r="P24" s="681">
        <f>+landbouw!O8</f>
        <v>0</v>
      </c>
      <c r="Q24" s="682">
        <f>+landbouw!P8</f>
        <v>0</v>
      </c>
      <c r="R24" s="684">
        <f>SUM(C24:Q24)</f>
        <v>5478.2909960280631</v>
      </c>
      <c r="S24" s="67"/>
    </row>
    <row r="25" spans="1:19" s="444" customFormat="1" ht="15" thickBot="1">
      <c r="A25" s="824" t="s">
        <v>714</v>
      </c>
      <c r="B25" s="943"/>
      <c r="C25" s="944">
        <f>IF(Onbekend_ele_kWh="---",0,Onbekend_ele_kWh)/1000+IF(REST_rest_ele_kWh="---",0,REST_rest_ele_kWh)/1000</f>
        <v>388.64883399999997</v>
      </c>
      <c r="D25" s="944"/>
      <c r="E25" s="944">
        <f>IF(onbekend_gas_kWh="---",0,onbekend_gas_kWh)/1000+IF(REST_rest_gas_kWh="---",0,REST_rest_gas_kWh)/1000</f>
        <v>686.43613300000004</v>
      </c>
      <c r="F25" s="944"/>
      <c r="G25" s="944"/>
      <c r="H25" s="944"/>
      <c r="I25" s="944"/>
      <c r="J25" s="944"/>
      <c r="K25" s="944"/>
      <c r="L25" s="944"/>
      <c r="M25" s="944"/>
      <c r="N25" s="944"/>
      <c r="O25" s="944"/>
      <c r="P25" s="944"/>
      <c r="Q25" s="945"/>
      <c r="R25" s="684">
        <f>SUM(C25:Q25)</f>
        <v>1075.084967</v>
      </c>
      <c r="S25" s="67"/>
    </row>
    <row r="26" spans="1:19" s="444" customFormat="1" ht="15.75" thickBot="1">
      <c r="A26" s="689" t="s">
        <v>715</v>
      </c>
      <c r="B26" s="810"/>
      <c r="C26" s="805">
        <f>SUM(C24:C25)</f>
        <v>1478.1570120000001</v>
      </c>
      <c r="D26" s="805">
        <f t="shared" ref="D26:R26" si="2">SUM(D24:D25)</f>
        <v>0</v>
      </c>
      <c r="E26" s="805">
        <f t="shared" si="2"/>
        <v>890.60610784400001</v>
      </c>
      <c r="F26" s="805">
        <f t="shared" si="2"/>
        <v>34.003190959905957</v>
      </c>
      <c r="G26" s="805">
        <f t="shared" si="2"/>
        <v>3850.4425935121603</v>
      </c>
      <c r="H26" s="805">
        <f t="shared" si="2"/>
        <v>0</v>
      </c>
      <c r="I26" s="805">
        <f t="shared" si="2"/>
        <v>0</v>
      </c>
      <c r="J26" s="805">
        <f t="shared" si="2"/>
        <v>0</v>
      </c>
      <c r="K26" s="805">
        <f t="shared" si="2"/>
        <v>300.16705871199707</v>
      </c>
      <c r="L26" s="805">
        <f t="shared" si="2"/>
        <v>0</v>
      </c>
      <c r="M26" s="805">
        <f t="shared" si="2"/>
        <v>0</v>
      </c>
      <c r="N26" s="805">
        <f t="shared" si="2"/>
        <v>0</v>
      </c>
      <c r="O26" s="805">
        <f t="shared" si="2"/>
        <v>0</v>
      </c>
      <c r="P26" s="805">
        <f t="shared" si="2"/>
        <v>0</v>
      </c>
      <c r="Q26" s="805">
        <f t="shared" si="2"/>
        <v>0</v>
      </c>
      <c r="R26" s="805">
        <f t="shared" si="2"/>
        <v>6553.3759630280629</v>
      </c>
      <c r="S26" s="67"/>
    </row>
    <row r="27" spans="1:19" s="444" customFormat="1" ht="17.25" thickTop="1" thickBot="1">
      <c r="A27" s="690" t="s">
        <v>115</v>
      </c>
      <c r="B27" s="797"/>
      <c r="C27" s="691">
        <f ca="1">C22+C16+C26</f>
        <v>383991.14411577053</v>
      </c>
      <c r="D27" s="691">
        <f t="shared" ref="D27:R27" ca="1" si="3">D22+D16+D26</f>
        <v>4204.2857142857147</v>
      </c>
      <c r="E27" s="691">
        <f t="shared" ca="1" si="3"/>
        <v>417736.94137270004</v>
      </c>
      <c r="F27" s="691">
        <f t="shared" si="3"/>
        <v>50271.234042446624</v>
      </c>
      <c r="G27" s="691">
        <f t="shared" ca="1" si="3"/>
        <v>177878.13984176787</v>
      </c>
      <c r="H27" s="691">
        <f t="shared" si="3"/>
        <v>40674.127209707483</v>
      </c>
      <c r="I27" s="691">
        <f t="shared" si="3"/>
        <v>6506.3785666408812</v>
      </c>
      <c r="J27" s="691">
        <f t="shared" si="3"/>
        <v>0</v>
      </c>
      <c r="K27" s="691">
        <f t="shared" si="3"/>
        <v>779.06052555695987</v>
      </c>
      <c r="L27" s="691">
        <f t="shared" si="3"/>
        <v>0</v>
      </c>
      <c r="M27" s="691">
        <f t="shared" ca="1" si="3"/>
        <v>0</v>
      </c>
      <c r="N27" s="691">
        <f t="shared" si="3"/>
        <v>2774.9277477866694</v>
      </c>
      <c r="O27" s="691">
        <f t="shared" ca="1" si="3"/>
        <v>26823.60349647492</v>
      </c>
      <c r="P27" s="691">
        <f t="shared" si="3"/>
        <v>334.10905561883555</v>
      </c>
      <c r="Q27" s="691">
        <f t="shared" si="3"/>
        <v>936.47711252852628</v>
      </c>
      <c r="R27" s="691">
        <f t="shared" ca="1" si="3"/>
        <v>1112910.4288012851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2739.4704619896647</v>
      </c>
      <c r="D40" s="681">
        <f ca="1">tertiair!C20</f>
        <v>0</v>
      </c>
      <c r="E40" s="681">
        <f ca="1">tertiair!D20</f>
        <v>1726.4516667048645</v>
      </c>
      <c r="F40" s="681">
        <f>tertiair!E20</f>
        <v>31.246637686217635</v>
      </c>
      <c r="G40" s="681">
        <f ca="1">tertiair!F20</f>
        <v>399.86986469581512</v>
      </c>
      <c r="H40" s="681">
        <f>tertiair!G20</f>
        <v>0</v>
      </c>
      <c r="I40" s="681">
        <f>tertiair!H20</f>
        <v>0</v>
      </c>
      <c r="J40" s="681">
        <f>tertiair!I20</f>
        <v>0</v>
      </c>
      <c r="K40" s="681">
        <f>tertiair!J20</f>
        <v>1.2014308518751229E-2</v>
      </c>
      <c r="L40" s="681">
        <f>tertiair!K20</f>
        <v>0</v>
      </c>
      <c r="M40" s="681">
        <f ca="1">tertiair!L20</f>
        <v>0</v>
      </c>
      <c r="N40" s="681">
        <f>tertiair!M20</f>
        <v>0</v>
      </c>
      <c r="O40" s="681">
        <f ca="1">tertiair!N20</f>
        <v>0</v>
      </c>
      <c r="P40" s="681">
        <f>tertiair!O20</f>
        <v>0</v>
      </c>
      <c r="Q40" s="764">
        <f>tertiair!P20</f>
        <v>0</v>
      </c>
      <c r="R40" s="843">
        <f t="shared" ca="1" si="4"/>
        <v>4897.0506453850812</v>
      </c>
    </row>
    <row r="41" spans="1:18">
      <c r="A41" s="815" t="s">
        <v>219</v>
      </c>
      <c r="B41" s="822"/>
      <c r="C41" s="681">
        <f ca="1">huishoudens!B12</f>
        <v>3200.0674627346425</v>
      </c>
      <c r="D41" s="681">
        <f ca="1">huishoudens!C12</f>
        <v>0</v>
      </c>
      <c r="E41" s="681">
        <f>huishoudens!D12</f>
        <v>6113.2337330882401</v>
      </c>
      <c r="F41" s="681">
        <f>huishoudens!E12</f>
        <v>314.0145915528841</v>
      </c>
      <c r="G41" s="681">
        <f>huishoudens!F12</f>
        <v>5954.3749235123514</v>
      </c>
      <c r="H41" s="681">
        <f>huishoudens!G12</f>
        <v>0</v>
      </c>
      <c r="I41" s="681">
        <f>huishoudens!H12</f>
        <v>0</v>
      </c>
      <c r="J41" s="681">
        <f>huishoudens!I12</f>
        <v>0</v>
      </c>
      <c r="K41" s="681">
        <f>huishoudens!J12</f>
        <v>31.538437141997303</v>
      </c>
      <c r="L41" s="681">
        <f>huishoudens!K12</f>
        <v>0</v>
      </c>
      <c r="M41" s="681">
        <f>huishoudens!L12</f>
        <v>0</v>
      </c>
      <c r="N41" s="681">
        <f>huishoudens!M12</f>
        <v>0</v>
      </c>
      <c r="O41" s="681">
        <f>huishoudens!N12</f>
        <v>0</v>
      </c>
      <c r="P41" s="681">
        <f>huishoudens!O12</f>
        <v>0</v>
      </c>
      <c r="Q41" s="764">
        <f>huishoudens!P12</f>
        <v>0</v>
      </c>
      <c r="R41" s="843">
        <f t="shared" ca="1" si="4"/>
        <v>15613.229148030114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72853.12842022923</v>
      </c>
      <c r="D43" s="681">
        <f ca="1">industrie!C22</f>
        <v>999.13613445378166</v>
      </c>
      <c r="E43" s="681">
        <f>industrie!D22</f>
        <v>76348.433688782476</v>
      </c>
      <c r="F43" s="681">
        <f>industrie!E22</f>
        <v>11044.282432362363</v>
      </c>
      <c r="G43" s="681">
        <f>industrie!F22</f>
        <v>40111.150377076112</v>
      </c>
      <c r="H43" s="681">
        <f>industrie!G22</f>
        <v>0</v>
      </c>
      <c r="I43" s="681">
        <f>industrie!H22</f>
        <v>0</v>
      </c>
      <c r="J43" s="681">
        <f>industrie!I22</f>
        <v>0</v>
      </c>
      <c r="K43" s="681">
        <f>industrie!J22</f>
        <v>137.9778358126008</v>
      </c>
      <c r="L43" s="681">
        <f>industrie!K22</f>
        <v>0</v>
      </c>
      <c r="M43" s="681">
        <f>industrie!L22</f>
        <v>0</v>
      </c>
      <c r="N43" s="681">
        <f>industrie!M22</f>
        <v>0</v>
      </c>
      <c r="O43" s="681">
        <f>industrie!N22</f>
        <v>0</v>
      </c>
      <c r="P43" s="681">
        <f>industrie!O22</f>
        <v>0</v>
      </c>
      <c r="Q43" s="764">
        <f>industrie!P22</f>
        <v>0</v>
      </c>
      <c r="R43" s="842">
        <f t="shared" ca="1" si="4"/>
        <v>201494.10888871658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78792.666344953541</v>
      </c>
      <c r="D46" s="717">
        <f t="shared" ref="D46:Q46" ca="1" si="5">SUM(D39:D45)</f>
        <v>999.13613445378166</v>
      </c>
      <c r="E46" s="717">
        <f t="shared" ca="1" si="5"/>
        <v>84188.119088575579</v>
      </c>
      <c r="F46" s="717">
        <f t="shared" si="5"/>
        <v>11389.543661601465</v>
      </c>
      <c r="G46" s="717">
        <f t="shared" ca="1" si="5"/>
        <v>46465.395165284281</v>
      </c>
      <c r="H46" s="717">
        <f t="shared" si="5"/>
        <v>0</v>
      </c>
      <c r="I46" s="717">
        <f t="shared" si="5"/>
        <v>0</v>
      </c>
      <c r="J46" s="717">
        <f t="shared" si="5"/>
        <v>0</v>
      </c>
      <c r="K46" s="717">
        <f t="shared" si="5"/>
        <v>169.52828726311685</v>
      </c>
      <c r="L46" s="717">
        <f t="shared" si="5"/>
        <v>0</v>
      </c>
      <c r="M46" s="717">
        <f t="shared" ca="1" si="5"/>
        <v>0</v>
      </c>
      <c r="N46" s="717">
        <f t="shared" si="5"/>
        <v>0</v>
      </c>
      <c r="O46" s="717">
        <f t="shared" ca="1" si="5"/>
        <v>0</v>
      </c>
      <c r="P46" s="717">
        <f t="shared" si="5"/>
        <v>0</v>
      </c>
      <c r="Q46" s="717">
        <f t="shared" si="5"/>
        <v>0</v>
      </c>
      <c r="R46" s="717">
        <f ca="1">SUM(R39:R45)</f>
        <v>222004.38868213177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1.0203805701900113</v>
      </c>
      <c r="D49" s="681">
        <f ca="1">transport!C58</f>
        <v>0</v>
      </c>
      <c r="E49" s="681">
        <f>transport!D58</f>
        <v>0</v>
      </c>
      <c r="F49" s="681">
        <f>transport!E58</f>
        <v>0</v>
      </c>
      <c r="G49" s="681">
        <f>transport!F58</f>
        <v>0</v>
      </c>
      <c r="H49" s="681">
        <f>transport!G58</f>
        <v>95.81443830781329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96.834818878003304</v>
      </c>
    </row>
    <row r="50" spans="1:18">
      <c r="A50" s="818" t="s">
        <v>301</v>
      </c>
      <c r="B50" s="828"/>
      <c r="C50" s="687">
        <f ca="1">transport!B18</f>
        <v>8.1039937605732639</v>
      </c>
      <c r="D50" s="687">
        <f>transport!C18</f>
        <v>0</v>
      </c>
      <c r="E50" s="687">
        <f>transport!D18</f>
        <v>14.840634925344029</v>
      </c>
      <c r="F50" s="687">
        <f>transport!E18</f>
        <v>14.307741686019098</v>
      </c>
      <c r="G50" s="687">
        <f>transport!F18</f>
        <v>0</v>
      </c>
      <c r="H50" s="687">
        <f>transport!G18</f>
        <v>10764.177526684087</v>
      </c>
      <c r="I50" s="687">
        <f>transport!H18</f>
        <v>1620.0882630935794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12421.518160149602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9.1243743307632759</v>
      </c>
      <c r="D52" s="717">
        <f t="shared" ref="D52:Q52" ca="1" si="6">SUM(D48:D51)</f>
        <v>0</v>
      </c>
      <c r="E52" s="717">
        <f t="shared" si="6"/>
        <v>14.840634925344029</v>
      </c>
      <c r="F52" s="717">
        <f t="shared" si="6"/>
        <v>14.307741686019098</v>
      </c>
      <c r="G52" s="717">
        <f t="shared" si="6"/>
        <v>0</v>
      </c>
      <c r="H52" s="717">
        <f t="shared" si="6"/>
        <v>10859.991964991899</v>
      </c>
      <c r="I52" s="717">
        <f t="shared" si="6"/>
        <v>1620.0882630935794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12518.352979027606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224.45040645486216</v>
      </c>
      <c r="D54" s="687">
        <f ca="1">+landbouw!C12</f>
        <v>0</v>
      </c>
      <c r="E54" s="687">
        <f>+landbouw!D12</f>
        <v>41.242334918487998</v>
      </c>
      <c r="F54" s="687">
        <f>+landbouw!E12</f>
        <v>7.7187243478986529</v>
      </c>
      <c r="G54" s="687">
        <f>+landbouw!F12</f>
        <v>1028.0681724677468</v>
      </c>
      <c r="H54" s="687">
        <f>+landbouw!G12</f>
        <v>0</v>
      </c>
      <c r="I54" s="687">
        <f>+landbouw!H12</f>
        <v>0</v>
      </c>
      <c r="J54" s="687">
        <f>+landbouw!I12</f>
        <v>0</v>
      </c>
      <c r="K54" s="687">
        <f>+landbouw!J12</f>
        <v>106.25913878404695</v>
      </c>
      <c r="L54" s="687">
        <f>+landbouw!K12</f>
        <v>0</v>
      </c>
      <c r="M54" s="687">
        <f>+landbouw!L12</f>
        <v>0</v>
      </c>
      <c r="N54" s="687">
        <f>+landbouw!M12</f>
        <v>0</v>
      </c>
      <c r="O54" s="687">
        <f>+landbouw!N12</f>
        <v>0</v>
      </c>
      <c r="P54" s="687">
        <f>+landbouw!O12</f>
        <v>0</v>
      </c>
      <c r="Q54" s="688">
        <f>+landbouw!P12</f>
        <v>0</v>
      </c>
      <c r="R54" s="716">
        <f ca="1">SUM(C54:Q54)</f>
        <v>1407.7387769730424</v>
      </c>
    </row>
    <row r="55" spans="1:18" ht="15" thickBot="1">
      <c r="A55" s="818" t="s">
        <v>714</v>
      </c>
      <c r="B55" s="828"/>
      <c r="C55" s="687">
        <f ca="1">C25*'EF ele_warmte'!B12</f>
        <v>80.065841194179868</v>
      </c>
      <c r="D55" s="687"/>
      <c r="E55" s="687">
        <f>E25*EF_CO2_aardgas</f>
        <v>138.66009886600003</v>
      </c>
      <c r="F55" s="687"/>
      <c r="G55" s="687"/>
      <c r="H55" s="687"/>
      <c r="I55" s="687"/>
      <c r="J55" s="687"/>
      <c r="K55" s="687"/>
      <c r="L55" s="687"/>
      <c r="M55" s="687"/>
      <c r="N55" s="687"/>
      <c r="O55" s="687"/>
      <c r="P55" s="687"/>
      <c r="Q55" s="688"/>
      <c r="R55" s="716">
        <f ca="1">SUM(C55:Q55)</f>
        <v>218.72594006017988</v>
      </c>
    </row>
    <row r="56" spans="1:18" ht="15.75" thickBot="1">
      <c r="A56" s="816" t="s">
        <v>715</v>
      </c>
      <c r="B56" s="829"/>
      <c r="C56" s="717">
        <f ca="1">SUM(C54:C55)</f>
        <v>304.51624764904204</v>
      </c>
      <c r="D56" s="717">
        <f t="shared" ref="D56:Q56" ca="1" si="7">SUM(D54:D55)</f>
        <v>0</v>
      </c>
      <c r="E56" s="717">
        <f t="shared" si="7"/>
        <v>179.90243378448804</v>
      </c>
      <c r="F56" s="717">
        <f t="shared" si="7"/>
        <v>7.7187243478986529</v>
      </c>
      <c r="G56" s="717">
        <f t="shared" si="7"/>
        <v>1028.0681724677468</v>
      </c>
      <c r="H56" s="717">
        <f t="shared" si="7"/>
        <v>0</v>
      </c>
      <c r="I56" s="717">
        <f t="shared" si="7"/>
        <v>0</v>
      </c>
      <c r="J56" s="717">
        <f t="shared" si="7"/>
        <v>0</v>
      </c>
      <c r="K56" s="717">
        <f t="shared" si="7"/>
        <v>106.25913878404695</v>
      </c>
      <c r="L56" s="717">
        <f t="shared" si="7"/>
        <v>0</v>
      </c>
      <c r="M56" s="717">
        <f t="shared" si="7"/>
        <v>0</v>
      </c>
      <c r="N56" s="717">
        <f t="shared" si="7"/>
        <v>0</v>
      </c>
      <c r="O56" s="717">
        <f t="shared" si="7"/>
        <v>0</v>
      </c>
      <c r="P56" s="717">
        <f t="shared" si="7"/>
        <v>0</v>
      </c>
      <c r="Q56" s="718">
        <f t="shared" si="7"/>
        <v>0</v>
      </c>
      <c r="R56" s="719">
        <f ca="1">SUM(R54:R55)</f>
        <v>1626.4647170332223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79106.306966933334</v>
      </c>
      <c r="D61" s="725">
        <f t="shared" ref="D61:Q61" ca="1" si="8">D46+D52+D56</f>
        <v>999.13613445378166</v>
      </c>
      <c r="E61" s="725">
        <f t="shared" ca="1" si="8"/>
        <v>84382.862157285417</v>
      </c>
      <c r="F61" s="725">
        <f t="shared" si="8"/>
        <v>11411.570127635383</v>
      </c>
      <c r="G61" s="725">
        <f t="shared" ca="1" si="8"/>
        <v>47493.463337752029</v>
      </c>
      <c r="H61" s="725">
        <f t="shared" si="8"/>
        <v>10859.991964991899</v>
      </c>
      <c r="I61" s="725">
        <f t="shared" si="8"/>
        <v>1620.0882630935794</v>
      </c>
      <c r="J61" s="725">
        <f t="shared" si="8"/>
        <v>0</v>
      </c>
      <c r="K61" s="725">
        <f t="shared" si="8"/>
        <v>275.78742604716382</v>
      </c>
      <c r="L61" s="725">
        <f t="shared" si="8"/>
        <v>0</v>
      </c>
      <c r="M61" s="725">
        <f t="shared" ca="1" si="8"/>
        <v>0</v>
      </c>
      <c r="N61" s="725">
        <f t="shared" si="8"/>
        <v>0</v>
      </c>
      <c r="O61" s="725">
        <f t="shared" ca="1" si="8"/>
        <v>0</v>
      </c>
      <c r="P61" s="725">
        <f t="shared" si="8"/>
        <v>0</v>
      </c>
      <c r="Q61" s="725">
        <f t="shared" si="8"/>
        <v>0</v>
      </c>
      <c r="R61" s="725">
        <f ca="1">R46+R52+R56</f>
        <v>236149.20637819261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0.20601075878740413</v>
      </c>
      <c r="D63" s="771">
        <f t="shared" ca="1" si="9"/>
        <v>0.23764705882352943</v>
      </c>
      <c r="E63" s="969">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16273.708150553528</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9992.0302058700181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2943</v>
      </c>
      <c r="D76" s="952">
        <f>'lokale energieproductie'!C8</f>
        <v>3462.3529411764707</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699.39529411764715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26265.738356423546</v>
      </c>
      <c r="C78" s="743">
        <f>SUM(C72:C77)</f>
        <v>2943</v>
      </c>
      <c r="D78" s="744">
        <f t="shared" ref="D78:H78" si="10">SUM(D76:D77)</f>
        <v>3462.3529411764707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699.39529411764715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4204.2857142857147</v>
      </c>
      <c r="D87" s="767">
        <f>'lokale energieproductie'!C17</f>
        <v>4946.2184873949582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999.13613445378166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4204.2857142857147</v>
      </c>
      <c r="D90" s="743">
        <f t="shared" ref="D90:H90" si="12">SUM(D87:D89)</f>
        <v>4946.2184873949582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999.13613445378166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15533.496801674322</v>
      </c>
      <c r="C4" s="448">
        <f>huishoudens!C8</f>
        <v>0</v>
      </c>
      <c r="D4" s="448">
        <f>huishoudens!D8</f>
        <v>30263.533332119998</v>
      </c>
      <c r="E4" s="448">
        <f>huishoudens!E8</f>
        <v>1383.3241918629255</v>
      </c>
      <c r="F4" s="448">
        <f>huishoudens!F8</f>
        <v>22301.029676076221</v>
      </c>
      <c r="G4" s="448">
        <f>huishoudens!G8</f>
        <v>0</v>
      </c>
      <c r="H4" s="448">
        <f>huishoudens!H8</f>
        <v>0</v>
      </c>
      <c r="I4" s="448">
        <f>huishoudens!I8</f>
        <v>0</v>
      </c>
      <c r="J4" s="448">
        <f>huishoudens!J8</f>
        <v>89.091630344625159</v>
      </c>
      <c r="K4" s="448">
        <f>huishoudens!K8</f>
        <v>0</v>
      </c>
      <c r="L4" s="448">
        <f>huishoudens!L8</f>
        <v>0</v>
      </c>
      <c r="M4" s="448">
        <f>huishoudens!M8</f>
        <v>0</v>
      </c>
      <c r="N4" s="448">
        <f>huishoudens!N8</f>
        <v>5331.448484910673</v>
      </c>
      <c r="O4" s="448">
        <f>huishoudens!O8</f>
        <v>319.41727332131211</v>
      </c>
      <c r="P4" s="449">
        <f>huishoudens!P8</f>
        <v>516.16400607656612</v>
      </c>
      <c r="Q4" s="450">
        <f>SUM(B4:P4)</f>
        <v>75737.505396386638</v>
      </c>
    </row>
    <row r="5" spans="1:17">
      <c r="A5" s="447" t="s">
        <v>155</v>
      </c>
      <c r="B5" s="448">
        <f ca="1">tertiair!B16</f>
        <v>12349.131799999999</v>
      </c>
      <c r="C5" s="448">
        <f ca="1">tertiair!C16</f>
        <v>0</v>
      </c>
      <c r="D5" s="448">
        <f ca="1">tertiair!D16</f>
        <v>8546.7904292320018</v>
      </c>
      <c r="E5" s="448">
        <f>tertiair!E16</f>
        <v>137.65038628289707</v>
      </c>
      <c r="F5" s="448">
        <f ca="1">tertiair!F16</f>
        <v>1497.6399426809555</v>
      </c>
      <c r="G5" s="448">
        <f>tertiair!G16</f>
        <v>0</v>
      </c>
      <c r="H5" s="448">
        <f>tertiair!H16</f>
        <v>0</v>
      </c>
      <c r="I5" s="448">
        <f>tertiair!I16</f>
        <v>0</v>
      </c>
      <c r="J5" s="448">
        <f>tertiair!J16</f>
        <v>3.393872462924076E-2</v>
      </c>
      <c r="K5" s="448">
        <f>tertiair!K16</f>
        <v>0</v>
      </c>
      <c r="L5" s="448">
        <f ca="1">tertiair!L16</f>
        <v>0</v>
      </c>
      <c r="M5" s="448">
        <f>tertiair!M16</f>
        <v>0</v>
      </c>
      <c r="N5" s="448">
        <f ca="1">tertiair!N16</f>
        <v>1329.1502221784713</v>
      </c>
      <c r="O5" s="448">
        <f>tertiair!O16</f>
        <v>14.691782297523464</v>
      </c>
      <c r="P5" s="449">
        <f>tertiair!P16</f>
        <v>420.31310645196015</v>
      </c>
      <c r="Q5" s="447">
        <f t="shared" ref="Q5:Q14" ca="1" si="0">SUM(B5:P5)</f>
        <v>24295.401607848435</v>
      </c>
    </row>
    <row r="6" spans="1:17">
      <c r="A6" s="447" t="s">
        <v>193</v>
      </c>
      <c r="B6" s="448">
        <f>'openbare verlichting'!B8</f>
        <v>948.57399999999996</v>
      </c>
      <c r="C6" s="448"/>
      <c r="D6" s="448"/>
      <c r="E6" s="448"/>
      <c r="F6" s="448"/>
      <c r="G6" s="448"/>
      <c r="H6" s="448"/>
      <c r="I6" s="448"/>
      <c r="J6" s="448"/>
      <c r="K6" s="448"/>
      <c r="L6" s="448"/>
      <c r="M6" s="448"/>
      <c r="N6" s="448"/>
      <c r="O6" s="448"/>
      <c r="P6" s="449"/>
      <c r="Q6" s="447">
        <f t="shared" si="0"/>
        <v>948.57399999999996</v>
      </c>
    </row>
    <row r="7" spans="1:17">
      <c r="A7" s="447" t="s">
        <v>111</v>
      </c>
      <c r="B7" s="448">
        <f>landbouw!B8</f>
        <v>1089.508178</v>
      </c>
      <c r="C7" s="448">
        <f>landbouw!C8</f>
        <v>0</v>
      </c>
      <c r="D7" s="448">
        <f>landbouw!D8</f>
        <v>204.169974844</v>
      </c>
      <c r="E7" s="448">
        <f>landbouw!E8</f>
        <v>34.003190959905957</v>
      </c>
      <c r="F7" s="448">
        <f>landbouw!F8</f>
        <v>3850.4425935121603</v>
      </c>
      <c r="G7" s="448">
        <f>landbouw!G8</f>
        <v>0</v>
      </c>
      <c r="H7" s="448">
        <f>landbouw!H8</f>
        <v>0</v>
      </c>
      <c r="I7" s="448">
        <f>landbouw!I8</f>
        <v>0</v>
      </c>
      <c r="J7" s="448">
        <f>landbouw!J8</f>
        <v>300.16705871199707</v>
      </c>
      <c r="K7" s="448">
        <f>landbouw!K8</f>
        <v>0</v>
      </c>
      <c r="L7" s="448">
        <f>landbouw!L8</f>
        <v>0</v>
      </c>
      <c r="M7" s="448">
        <f>landbouw!M8</f>
        <v>0</v>
      </c>
      <c r="N7" s="448">
        <f>landbouw!N8</f>
        <v>0</v>
      </c>
      <c r="O7" s="448">
        <f>landbouw!O8</f>
        <v>0</v>
      </c>
      <c r="P7" s="449">
        <f>landbouw!P8</f>
        <v>0</v>
      </c>
      <c r="Q7" s="447">
        <f t="shared" si="0"/>
        <v>5478.2909960280631</v>
      </c>
    </row>
    <row r="8" spans="1:17">
      <c r="A8" s="447" t="s">
        <v>618</v>
      </c>
      <c r="B8" s="448">
        <f>industrie!B18</f>
        <v>353637.49373599997</v>
      </c>
      <c r="C8" s="448">
        <f>industrie!C18</f>
        <v>4204.2857142857147</v>
      </c>
      <c r="D8" s="448">
        <f>industrie!D18</f>
        <v>377962.54301377462</v>
      </c>
      <c r="E8" s="448">
        <f>industrie!E18</f>
        <v>48653.226574283537</v>
      </c>
      <c r="F8" s="448">
        <f>industrie!F18</f>
        <v>150229.02762949854</v>
      </c>
      <c r="G8" s="448">
        <f>industrie!G18</f>
        <v>0</v>
      </c>
      <c r="H8" s="448">
        <f>industrie!H18</f>
        <v>0</v>
      </c>
      <c r="I8" s="448">
        <f>industrie!I18</f>
        <v>0</v>
      </c>
      <c r="J8" s="448">
        <f>industrie!J18</f>
        <v>389.76789777570849</v>
      </c>
      <c r="K8" s="448">
        <f>industrie!K18</f>
        <v>0</v>
      </c>
      <c r="L8" s="448">
        <f>industrie!L18</f>
        <v>0</v>
      </c>
      <c r="M8" s="448">
        <f>industrie!M18</f>
        <v>0</v>
      </c>
      <c r="N8" s="448">
        <f>industrie!N18</f>
        <v>20163.004789385774</v>
      </c>
      <c r="O8" s="448">
        <f>industrie!O18</f>
        <v>0</v>
      </c>
      <c r="P8" s="449">
        <f>industrie!P18</f>
        <v>0</v>
      </c>
      <c r="Q8" s="447">
        <f t="shared" si="0"/>
        <v>955239.34935500391</v>
      </c>
    </row>
    <row r="9" spans="1:17" s="453" customFormat="1">
      <c r="A9" s="451" t="s">
        <v>544</v>
      </c>
      <c r="B9" s="452">
        <f>transport!B14</f>
        <v>39.337721040755454</v>
      </c>
      <c r="C9" s="452">
        <f>transport!C14</f>
        <v>0</v>
      </c>
      <c r="D9" s="452">
        <f>transport!D14</f>
        <v>73.468489729425883</v>
      </c>
      <c r="E9" s="452">
        <f>transport!E14</f>
        <v>63.02969905735285</v>
      </c>
      <c r="F9" s="452">
        <f>transport!F14</f>
        <v>0</v>
      </c>
      <c r="G9" s="452">
        <f>transport!G14</f>
        <v>40315.27163552092</v>
      </c>
      <c r="H9" s="452">
        <f>transport!H14</f>
        <v>6506.3785666408812</v>
      </c>
      <c r="I9" s="452">
        <f>transport!I14</f>
        <v>0</v>
      </c>
      <c r="J9" s="452">
        <f>transport!J14</f>
        <v>0</v>
      </c>
      <c r="K9" s="452">
        <f>transport!K14</f>
        <v>0</v>
      </c>
      <c r="L9" s="452">
        <f>transport!L14</f>
        <v>0</v>
      </c>
      <c r="M9" s="452">
        <f>transport!M14</f>
        <v>2754.6298078384016</v>
      </c>
      <c r="N9" s="452">
        <f>transport!N14</f>
        <v>0</v>
      </c>
      <c r="O9" s="452">
        <f>transport!O14</f>
        <v>0</v>
      </c>
      <c r="P9" s="452">
        <f>transport!P14</f>
        <v>0</v>
      </c>
      <c r="Q9" s="451">
        <f>SUM(B9:P9)</f>
        <v>49752.115919827731</v>
      </c>
    </row>
    <row r="10" spans="1:17">
      <c r="A10" s="447" t="s">
        <v>534</v>
      </c>
      <c r="B10" s="448">
        <f>transport!B54</f>
        <v>4.9530450554915353</v>
      </c>
      <c r="C10" s="448">
        <f>transport!C54</f>
        <v>0</v>
      </c>
      <c r="D10" s="448">
        <f>transport!D54</f>
        <v>0</v>
      </c>
      <c r="E10" s="448">
        <f>transport!E54</f>
        <v>0</v>
      </c>
      <c r="F10" s="448">
        <f>transport!F54</f>
        <v>0</v>
      </c>
      <c r="G10" s="448">
        <f>transport!G54</f>
        <v>358.85557418656663</v>
      </c>
      <c r="H10" s="448">
        <f>transport!H54</f>
        <v>0</v>
      </c>
      <c r="I10" s="448">
        <f>transport!I54</f>
        <v>0</v>
      </c>
      <c r="J10" s="448">
        <f>transport!J54</f>
        <v>0</v>
      </c>
      <c r="K10" s="448">
        <f>transport!K54</f>
        <v>0</v>
      </c>
      <c r="L10" s="448">
        <f>transport!L54</f>
        <v>0</v>
      </c>
      <c r="M10" s="448">
        <f>transport!M54</f>
        <v>20.297939948267967</v>
      </c>
      <c r="N10" s="448">
        <f>transport!N54</f>
        <v>0</v>
      </c>
      <c r="O10" s="448">
        <f>transport!O54</f>
        <v>0</v>
      </c>
      <c r="P10" s="449">
        <f>transport!P54</f>
        <v>0</v>
      </c>
      <c r="Q10" s="447">
        <f t="shared" si="0"/>
        <v>384.10655919032615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388.64883399999997</v>
      </c>
      <c r="C14" s="455"/>
      <c r="D14" s="455">
        <f>'SEAP template'!E25</f>
        <v>686.43613300000004</v>
      </c>
      <c r="E14" s="455"/>
      <c r="F14" s="455"/>
      <c r="G14" s="455"/>
      <c r="H14" s="455"/>
      <c r="I14" s="455"/>
      <c r="J14" s="455"/>
      <c r="K14" s="455"/>
      <c r="L14" s="455"/>
      <c r="M14" s="455"/>
      <c r="N14" s="455"/>
      <c r="O14" s="455"/>
      <c r="P14" s="456"/>
      <c r="Q14" s="447">
        <f t="shared" si="0"/>
        <v>1075.084967</v>
      </c>
    </row>
    <row r="15" spans="1:17" s="459" customFormat="1">
      <c r="A15" s="457" t="s">
        <v>538</v>
      </c>
      <c r="B15" s="458">
        <f ca="1">SUM(B4:B14)</f>
        <v>383991.14411577053</v>
      </c>
      <c r="C15" s="458">
        <f t="shared" ref="C15:Q15" ca="1" si="1">SUM(C4:C14)</f>
        <v>4204.2857142857147</v>
      </c>
      <c r="D15" s="458">
        <f t="shared" ca="1" si="1"/>
        <v>417736.94137270009</v>
      </c>
      <c r="E15" s="458">
        <f t="shared" si="1"/>
        <v>50271.234042446624</v>
      </c>
      <c r="F15" s="458">
        <f t="shared" ca="1" si="1"/>
        <v>177878.13984176787</v>
      </c>
      <c r="G15" s="458">
        <f t="shared" si="1"/>
        <v>40674.127209707483</v>
      </c>
      <c r="H15" s="458">
        <f t="shared" si="1"/>
        <v>6506.3785666408812</v>
      </c>
      <c r="I15" s="458">
        <f t="shared" si="1"/>
        <v>0</v>
      </c>
      <c r="J15" s="458">
        <f t="shared" si="1"/>
        <v>779.06052555695987</v>
      </c>
      <c r="K15" s="458">
        <f t="shared" si="1"/>
        <v>0</v>
      </c>
      <c r="L15" s="458">
        <f t="shared" ca="1" si="1"/>
        <v>0</v>
      </c>
      <c r="M15" s="458">
        <f t="shared" si="1"/>
        <v>2774.9277477866694</v>
      </c>
      <c r="N15" s="458">
        <f t="shared" ca="1" si="1"/>
        <v>26823.60349647492</v>
      </c>
      <c r="O15" s="458">
        <f t="shared" si="1"/>
        <v>334.10905561883555</v>
      </c>
      <c r="P15" s="458">
        <f t="shared" si="1"/>
        <v>936.47711252852628</v>
      </c>
      <c r="Q15" s="458">
        <f t="shared" ca="1" si="1"/>
        <v>1112910.4288012851</v>
      </c>
    </row>
    <row r="17" spans="1:17">
      <c r="A17" s="460" t="s">
        <v>539</v>
      </c>
      <c r="B17" s="776">
        <f ca="1">huishoudens!B10</f>
        <v>0.20601075878740413</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3200.0674627346425</v>
      </c>
      <c r="C22" s="448">
        <f t="shared" ref="C22:C32" ca="1" si="3">C4*$C$17</f>
        <v>0</v>
      </c>
      <c r="D22" s="448">
        <f t="shared" ref="D22:D32" si="4">D4*$D$17</f>
        <v>6113.2337330882401</v>
      </c>
      <c r="E22" s="448">
        <f t="shared" ref="E22:E32" si="5">E4*$E$17</f>
        <v>314.0145915528841</v>
      </c>
      <c r="F22" s="448">
        <f t="shared" ref="F22:F32" si="6">F4*$F$17</f>
        <v>5954.3749235123514</v>
      </c>
      <c r="G22" s="448">
        <f t="shared" ref="G22:G32" si="7">G4*$G$17</f>
        <v>0</v>
      </c>
      <c r="H22" s="448">
        <f t="shared" ref="H22:H32" si="8">H4*$H$17</f>
        <v>0</v>
      </c>
      <c r="I22" s="448">
        <f t="shared" ref="I22:I32" si="9">I4*$I$17</f>
        <v>0</v>
      </c>
      <c r="J22" s="448">
        <f t="shared" ref="J22:J32" si="10">J4*$J$17</f>
        <v>31.538437141997303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15613.229148030114</v>
      </c>
    </row>
    <row r="23" spans="1:17">
      <c r="A23" s="447" t="s">
        <v>155</v>
      </c>
      <c r="B23" s="448">
        <f t="shared" ca="1" si="2"/>
        <v>2544.0540124836616</v>
      </c>
      <c r="C23" s="448">
        <f t="shared" ca="1" si="3"/>
        <v>0</v>
      </c>
      <c r="D23" s="448">
        <f t="shared" ca="1" si="4"/>
        <v>1726.4516667048645</v>
      </c>
      <c r="E23" s="448">
        <f t="shared" si="5"/>
        <v>31.246637686217635</v>
      </c>
      <c r="F23" s="448">
        <f t="shared" ca="1" si="6"/>
        <v>399.86986469581512</v>
      </c>
      <c r="G23" s="448">
        <f t="shared" si="7"/>
        <v>0</v>
      </c>
      <c r="H23" s="448">
        <f t="shared" si="8"/>
        <v>0</v>
      </c>
      <c r="I23" s="448">
        <f t="shared" si="9"/>
        <v>0</v>
      </c>
      <c r="J23" s="448">
        <f t="shared" si="10"/>
        <v>1.2014308518751229E-2</v>
      </c>
      <c r="K23" s="448">
        <f t="shared" si="11"/>
        <v>0</v>
      </c>
      <c r="L23" s="448">
        <f t="shared" ca="1" si="12"/>
        <v>0</v>
      </c>
      <c r="M23" s="448">
        <f t="shared" si="13"/>
        <v>0</v>
      </c>
      <c r="N23" s="448">
        <f t="shared" ca="1" si="14"/>
        <v>0</v>
      </c>
      <c r="O23" s="448">
        <f t="shared" si="15"/>
        <v>0</v>
      </c>
      <c r="P23" s="449">
        <f t="shared" si="16"/>
        <v>0</v>
      </c>
      <c r="Q23" s="447">
        <f t="shared" ref="Q23:Q31" ca="1" si="17">SUM(B23:P23)</f>
        <v>4701.6341958790781</v>
      </c>
    </row>
    <row r="24" spans="1:17">
      <c r="A24" s="447" t="s">
        <v>193</v>
      </c>
      <c r="B24" s="448">
        <f t="shared" ca="1" si="2"/>
        <v>195.41644950600309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195.41644950600309</v>
      </c>
    </row>
    <row r="25" spans="1:17">
      <c r="A25" s="447" t="s">
        <v>111</v>
      </c>
      <c r="B25" s="448">
        <f t="shared" ca="1" si="2"/>
        <v>224.45040645486216</v>
      </c>
      <c r="C25" s="448">
        <f t="shared" ca="1" si="3"/>
        <v>0</v>
      </c>
      <c r="D25" s="448">
        <f t="shared" si="4"/>
        <v>41.242334918487998</v>
      </c>
      <c r="E25" s="448">
        <f t="shared" si="5"/>
        <v>7.7187243478986529</v>
      </c>
      <c r="F25" s="448">
        <f t="shared" si="6"/>
        <v>1028.0681724677468</v>
      </c>
      <c r="G25" s="448">
        <f t="shared" si="7"/>
        <v>0</v>
      </c>
      <c r="H25" s="448">
        <f t="shared" si="8"/>
        <v>0</v>
      </c>
      <c r="I25" s="448">
        <f t="shared" si="9"/>
        <v>0</v>
      </c>
      <c r="J25" s="448">
        <f t="shared" si="10"/>
        <v>106.25913878404695</v>
      </c>
      <c r="K25" s="448">
        <f t="shared" si="11"/>
        <v>0</v>
      </c>
      <c r="L25" s="448">
        <f t="shared" si="12"/>
        <v>0</v>
      </c>
      <c r="M25" s="448">
        <f t="shared" si="13"/>
        <v>0</v>
      </c>
      <c r="N25" s="448">
        <f t="shared" si="14"/>
        <v>0</v>
      </c>
      <c r="O25" s="448">
        <f t="shared" si="15"/>
        <v>0</v>
      </c>
      <c r="P25" s="449">
        <f t="shared" si="16"/>
        <v>0</v>
      </c>
      <c r="Q25" s="447">
        <f t="shared" ca="1" si="17"/>
        <v>1407.7387769730424</v>
      </c>
    </row>
    <row r="26" spans="1:17">
      <c r="A26" s="447" t="s">
        <v>618</v>
      </c>
      <c r="B26" s="448">
        <f t="shared" ca="1" si="2"/>
        <v>72853.12842022923</v>
      </c>
      <c r="C26" s="448">
        <f t="shared" ca="1" si="3"/>
        <v>999.13613445378166</v>
      </c>
      <c r="D26" s="448">
        <f t="shared" si="4"/>
        <v>76348.433688782476</v>
      </c>
      <c r="E26" s="448">
        <f t="shared" si="5"/>
        <v>11044.282432362363</v>
      </c>
      <c r="F26" s="448">
        <f t="shared" si="6"/>
        <v>40111.150377076112</v>
      </c>
      <c r="G26" s="448">
        <f t="shared" si="7"/>
        <v>0</v>
      </c>
      <c r="H26" s="448">
        <f t="shared" si="8"/>
        <v>0</v>
      </c>
      <c r="I26" s="448">
        <f t="shared" si="9"/>
        <v>0</v>
      </c>
      <c r="J26" s="448">
        <f t="shared" si="10"/>
        <v>137.9778358126008</v>
      </c>
      <c r="K26" s="448">
        <f t="shared" si="11"/>
        <v>0</v>
      </c>
      <c r="L26" s="448">
        <f t="shared" si="12"/>
        <v>0</v>
      </c>
      <c r="M26" s="448">
        <f t="shared" si="13"/>
        <v>0</v>
      </c>
      <c r="N26" s="448">
        <f t="shared" si="14"/>
        <v>0</v>
      </c>
      <c r="O26" s="448">
        <f t="shared" si="15"/>
        <v>0</v>
      </c>
      <c r="P26" s="449">
        <f t="shared" si="16"/>
        <v>0</v>
      </c>
      <c r="Q26" s="447">
        <f t="shared" ca="1" si="17"/>
        <v>201494.10888871658</v>
      </c>
    </row>
    <row r="27" spans="1:17" s="453" customFormat="1">
      <c r="A27" s="451" t="s">
        <v>544</v>
      </c>
      <c r="B27" s="770">
        <f t="shared" ca="1" si="2"/>
        <v>8.1039937605732639</v>
      </c>
      <c r="C27" s="452">
        <f t="shared" ca="1" si="3"/>
        <v>0</v>
      </c>
      <c r="D27" s="452">
        <f t="shared" si="4"/>
        <v>14.840634925344029</v>
      </c>
      <c r="E27" s="452">
        <f t="shared" si="5"/>
        <v>14.307741686019098</v>
      </c>
      <c r="F27" s="452">
        <f t="shared" si="6"/>
        <v>0</v>
      </c>
      <c r="G27" s="452">
        <f t="shared" si="7"/>
        <v>10764.177526684087</v>
      </c>
      <c r="H27" s="452">
        <f t="shared" si="8"/>
        <v>1620.0882630935794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12421.518160149602</v>
      </c>
    </row>
    <row r="28" spans="1:17" ht="16.5" customHeight="1">
      <c r="A28" s="447" t="s">
        <v>534</v>
      </c>
      <c r="B28" s="448">
        <f t="shared" ca="1" si="2"/>
        <v>1.0203805701900113</v>
      </c>
      <c r="C28" s="448">
        <f t="shared" ca="1" si="3"/>
        <v>0</v>
      </c>
      <c r="D28" s="448">
        <f t="shared" si="4"/>
        <v>0</v>
      </c>
      <c r="E28" s="448">
        <f t="shared" si="5"/>
        <v>0</v>
      </c>
      <c r="F28" s="448">
        <f t="shared" si="6"/>
        <v>0</v>
      </c>
      <c r="G28" s="448">
        <f t="shared" si="7"/>
        <v>95.81443830781329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96.834818878003304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80.065841194179868</v>
      </c>
      <c r="C32" s="448">
        <f t="shared" ca="1" si="3"/>
        <v>0</v>
      </c>
      <c r="D32" s="448">
        <f t="shared" si="4"/>
        <v>138.66009886600003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218.72594006017988</v>
      </c>
    </row>
    <row r="33" spans="1:17" s="459" customFormat="1">
      <c r="A33" s="457" t="s">
        <v>538</v>
      </c>
      <c r="B33" s="458">
        <f ca="1">SUM(B22:B32)</f>
        <v>79106.306966933334</v>
      </c>
      <c r="C33" s="458">
        <f t="shared" ref="C33:Q33" ca="1" si="19">SUM(C22:C32)</f>
        <v>999.13613445378166</v>
      </c>
      <c r="D33" s="458">
        <f t="shared" ca="1" si="19"/>
        <v>84382.862157285417</v>
      </c>
      <c r="E33" s="458">
        <f t="shared" si="19"/>
        <v>11411.570127635383</v>
      </c>
      <c r="F33" s="458">
        <f t="shared" ca="1" si="19"/>
        <v>47493.463337752022</v>
      </c>
      <c r="G33" s="458">
        <f t="shared" si="19"/>
        <v>10859.991964991899</v>
      </c>
      <c r="H33" s="458">
        <f t="shared" si="19"/>
        <v>1620.0882630935794</v>
      </c>
      <c r="I33" s="458">
        <f t="shared" si="19"/>
        <v>0</v>
      </c>
      <c r="J33" s="458">
        <f t="shared" si="19"/>
        <v>275.78742604716382</v>
      </c>
      <c r="K33" s="458">
        <f t="shared" si="19"/>
        <v>0</v>
      </c>
      <c r="L33" s="458">
        <f t="shared" ca="1" si="19"/>
        <v>0</v>
      </c>
      <c r="M33" s="458">
        <f t="shared" si="19"/>
        <v>0</v>
      </c>
      <c r="N33" s="458">
        <f t="shared" ca="1" si="19"/>
        <v>0</v>
      </c>
      <c r="O33" s="458">
        <f t="shared" si="19"/>
        <v>0</v>
      </c>
      <c r="P33" s="458">
        <f t="shared" si="19"/>
        <v>0</v>
      </c>
      <c r="Q33" s="458">
        <f t="shared" ca="1" si="19"/>
        <v>236149.20637819261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16273.708150553528</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9992.0302058700181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2943</v>
      </c>
      <c r="D8" s="1021">
        <f>'SEAP template'!D76</f>
        <v>3462.3529411764707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699.39529411764715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26265.738356423546</v>
      </c>
      <c r="C10" s="1023">
        <f>SUM(C4:C9)</f>
        <v>2943</v>
      </c>
      <c r="D10" s="1023">
        <f t="shared" ref="D10:H10" si="0">SUM(D8:D9)</f>
        <v>3462.3529411764707</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699.39529411764715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0.20601075878740413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4204.2857142857147</v>
      </c>
      <c r="D17" s="1022">
        <f>'SEAP template'!D87</f>
        <v>4946.2184873949582</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999.13613445378166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4204.2857142857147</v>
      </c>
      <c r="D20" s="1023">
        <f t="shared" ref="D20:H20" si="2">SUM(D17:D19)</f>
        <v>4946.2184873949582</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999.13613445378166</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0.20601075878740413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0.20601075878740413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0.20601075878740413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3833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1001.37</v>
      </c>
      <c r="C14" s="326"/>
      <c r="D14" s="326"/>
      <c r="E14" s="326"/>
      <c r="F14" s="326"/>
    </row>
    <row r="15" spans="1:6">
      <c r="A15" s="1298" t="s">
        <v>183</v>
      </c>
      <c r="B15" s="1299">
        <v>460</v>
      </c>
      <c r="C15" s="326"/>
      <c r="D15" s="326"/>
      <c r="E15" s="326"/>
      <c r="F15" s="326"/>
    </row>
    <row r="16" spans="1:6">
      <c r="A16" s="1298" t="s">
        <v>6</v>
      </c>
      <c r="B16" s="1299">
        <v>445</v>
      </c>
      <c r="C16" s="326"/>
      <c r="D16" s="326"/>
      <c r="E16" s="326"/>
      <c r="F16" s="326"/>
    </row>
    <row r="17" spans="1:6">
      <c r="A17" s="1298" t="s">
        <v>7</v>
      </c>
      <c r="B17" s="1299">
        <v>462</v>
      </c>
      <c r="C17" s="326"/>
      <c r="D17" s="326"/>
      <c r="E17" s="326"/>
      <c r="F17" s="326"/>
    </row>
    <row r="18" spans="1:6">
      <c r="A18" s="1298" t="s">
        <v>8</v>
      </c>
      <c r="B18" s="1299">
        <v>612</v>
      </c>
      <c r="C18" s="326"/>
      <c r="D18" s="326"/>
      <c r="E18" s="326"/>
      <c r="F18" s="326"/>
    </row>
    <row r="19" spans="1:6">
      <c r="A19" s="1298" t="s">
        <v>9</v>
      </c>
      <c r="B19" s="1299">
        <v>668</v>
      </c>
      <c r="C19" s="326"/>
      <c r="D19" s="326"/>
      <c r="E19" s="326"/>
      <c r="F19" s="326"/>
    </row>
    <row r="20" spans="1:6">
      <c r="A20" s="1298" t="s">
        <v>10</v>
      </c>
      <c r="B20" s="1299">
        <v>367</v>
      </c>
      <c r="C20" s="326"/>
      <c r="D20" s="326"/>
      <c r="E20" s="326"/>
      <c r="F20" s="326"/>
    </row>
    <row r="21" spans="1:6">
      <c r="A21" s="1298" t="s">
        <v>11</v>
      </c>
      <c r="B21" s="1299">
        <v>3262</v>
      </c>
      <c r="C21" s="326"/>
      <c r="D21" s="326"/>
      <c r="E21" s="326"/>
      <c r="F21" s="326"/>
    </row>
    <row r="22" spans="1:6">
      <c r="A22" s="1298" t="s">
        <v>12</v>
      </c>
      <c r="B22" s="1299">
        <v>15535</v>
      </c>
      <c r="C22" s="326"/>
      <c r="D22" s="326"/>
      <c r="E22" s="326"/>
      <c r="F22" s="326"/>
    </row>
    <row r="23" spans="1:6">
      <c r="A23" s="1298" t="s">
        <v>13</v>
      </c>
      <c r="B23" s="1299">
        <v>104</v>
      </c>
      <c r="C23" s="326"/>
      <c r="D23" s="326"/>
      <c r="E23" s="326"/>
      <c r="F23" s="326"/>
    </row>
    <row r="24" spans="1:6">
      <c r="A24" s="1298" t="s">
        <v>14</v>
      </c>
      <c r="B24" s="1299">
        <v>5</v>
      </c>
      <c r="C24" s="326"/>
      <c r="D24" s="326"/>
      <c r="E24" s="326"/>
      <c r="F24" s="326"/>
    </row>
    <row r="25" spans="1:6">
      <c r="A25" s="1298" t="s">
        <v>15</v>
      </c>
      <c r="B25" s="1299">
        <v>884</v>
      </c>
      <c r="C25" s="326"/>
      <c r="D25" s="326"/>
      <c r="E25" s="326"/>
      <c r="F25" s="326"/>
    </row>
    <row r="26" spans="1:6">
      <c r="A26" s="1298" t="s">
        <v>16</v>
      </c>
      <c r="B26" s="1299">
        <v>177</v>
      </c>
      <c r="C26" s="326"/>
      <c r="D26" s="326"/>
      <c r="E26" s="326"/>
      <c r="F26" s="326"/>
    </row>
    <row r="27" spans="1:6">
      <c r="A27" s="1298" t="s">
        <v>17</v>
      </c>
      <c r="B27" s="1299">
        <v>0</v>
      </c>
      <c r="C27" s="326"/>
      <c r="D27" s="326"/>
      <c r="E27" s="326"/>
      <c r="F27" s="326"/>
    </row>
    <row r="28" spans="1:6" s="43" customFormat="1">
      <c r="A28" s="1300" t="s">
        <v>18</v>
      </c>
      <c r="B28" s="1301">
        <v>86753</v>
      </c>
      <c r="C28" s="332"/>
      <c r="D28" s="332"/>
      <c r="E28" s="332"/>
      <c r="F28" s="332"/>
    </row>
    <row r="29" spans="1:6">
      <c r="A29" s="1300" t="s">
        <v>695</v>
      </c>
      <c r="B29" s="1301">
        <v>28</v>
      </c>
      <c r="C29" s="332"/>
      <c r="D29" s="332"/>
      <c r="E29" s="332"/>
      <c r="F29" s="332"/>
    </row>
    <row r="30" spans="1:6">
      <c r="A30" s="1293" t="s">
        <v>696</v>
      </c>
      <c r="B30" s="1302">
        <v>10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1648662.1429999999</v>
      </c>
    </row>
    <row r="39" spans="1:6">
      <c r="A39" s="1298" t="s">
        <v>29</v>
      </c>
      <c r="B39" s="1298" t="s">
        <v>30</v>
      </c>
      <c r="C39" s="1299">
        <v>2295</v>
      </c>
      <c r="D39" s="1299">
        <v>33551589.059999999</v>
      </c>
      <c r="E39" s="1299">
        <v>3553</v>
      </c>
      <c r="F39" s="1299">
        <v>13027898.289999999</v>
      </c>
    </row>
    <row r="40" spans="1:6">
      <c r="A40" s="1298" t="s">
        <v>29</v>
      </c>
      <c r="B40" s="1298" t="s">
        <v>28</v>
      </c>
      <c r="C40" s="1299">
        <v>0</v>
      </c>
      <c r="D40" s="1299">
        <v>0</v>
      </c>
      <c r="E40" s="1299">
        <v>0</v>
      </c>
      <c r="F40" s="1299">
        <v>0</v>
      </c>
    </row>
    <row r="41" spans="1:6">
      <c r="A41" s="1298" t="s">
        <v>31</v>
      </c>
      <c r="B41" s="1298" t="s">
        <v>32</v>
      </c>
      <c r="C41" s="1299">
        <v>70</v>
      </c>
      <c r="D41" s="1299">
        <v>68341274.859999999</v>
      </c>
      <c r="E41" s="1299">
        <v>181</v>
      </c>
      <c r="F41" s="1299">
        <v>166189634.90000001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56680.618999999999</v>
      </c>
      <c r="E44" s="1299">
        <v>14</v>
      </c>
      <c r="F44" s="1299">
        <v>347432.39199999999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151544.85399999999</v>
      </c>
    </row>
    <row r="48" spans="1:6">
      <c r="A48" s="1298" t="s">
        <v>31</v>
      </c>
      <c r="B48" s="1298" t="s">
        <v>28</v>
      </c>
      <c r="C48" s="1299">
        <v>32</v>
      </c>
      <c r="D48" s="1299">
        <v>240721729.80000001</v>
      </c>
      <c r="E48" s="1299">
        <v>43</v>
      </c>
      <c r="F48" s="1299">
        <v>45131213.619999997</v>
      </c>
    </row>
    <row r="49" spans="1:6">
      <c r="A49" s="1298" t="s">
        <v>31</v>
      </c>
      <c r="B49" s="1298" t="s">
        <v>39</v>
      </c>
      <c r="C49" s="1299">
        <v>8</v>
      </c>
      <c r="D49" s="1299">
        <v>118130438.8</v>
      </c>
      <c r="E49" s="1299">
        <v>25</v>
      </c>
      <c r="F49" s="1299">
        <v>124429478</v>
      </c>
    </row>
    <row r="50" spans="1:6">
      <c r="A50" s="1298" t="s">
        <v>31</v>
      </c>
      <c r="B50" s="1298" t="s">
        <v>40</v>
      </c>
      <c r="C50" s="1299">
        <v>11</v>
      </c>
      <c r="D50" s="1299">
        <v>1099226.7439999999</v>
      </c>
      <c r="E50" s="1299">
        <v>13</v>
      </c>
      <c r="F50" s="1299">
        <v>14445189.970000001</v>
      </c>
    </row>
    <row r="51" spans="1:6">
      <c r="A51" s="1298" t="s">
        <v>41</v>
      </c>
      <c r="B51" s="1298" t="s">
        <v>42</v>
      </c>
      <c r="C51" s="1299">
        <v>0</v>
      </c>
      <c r="D51" s="1299">
        <v>0</v>
      </c>
      <c r="E51" s="1299">
        <v>47</v>
      </c>
      <c r="F51" s="1299">
        <v>793335.86100000003</v>
      </c>
    </row>
    <row r="52" spans="1:6">
      <c r="A52" s="1298" t="s">
        <v>41</v>
      </c>
      <c r="B52" s="1298" t="s">
        <v>28</v>
      </c>
      <c r="C52" s="1299">
        <v>4</v>
      </c>
      <c r="D52" s="1299">
        <v>226352.522</v>
      </c>
      <c r="E52" s="1299">
        <v>8</v>
      </c>
      <c r="F52" s="1299">
        <v>296172.31699999998</v>
      </c>
    </row>
    <row r="53" spans="1:6">
      <c r="A53" s="1298" t="s">
        <v>43</v>
      </c>
      <c r="B53" s="1298" t="s">
        <v>44</v>
      </c>
      <c r="C53" s="1299">
        <v>50</v>
      </c>
      <c r="D53" s="1299">
        <v>686436.13300000003</v>
      </c>
      <c r="E53" s="1299">
        <v>109</v>
      </c>
      <c r="F53" s="1299">
        <v>388648.83399999997</v>
      </c>
    </row>
    <row r="54" spans="1:6">
      <c r="A54" s="1298" t="s">
        <v>45</v>
      </c>
      <c r="B54" s="1298" t="s">
        <v>46</v>
      </c>
      <c r="C54" s="1299">
        <v>0</v>
      </c>
      <c r="D54" s="1299">
        <v>0</v>
      </c>
      <c r="E54" s="1299">
        <v>1</v>
      </c>
      <c r="F54" s="1299">
        <v>948574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712834.23400000005</v>
      </c>
      <c r="E57" s="1299">
        <v>47</v>
      </c>
      <c r="F57" s="1299">
        <v>1892849.824</v>
      </c>
    </row>
    <row r="58" spans="1:6">
      <c r="A58" s="1298" t="s">
        <v>48</v>
      </c>
      <c r="B58" s="1298" t="s">
        <v>50</v>
      </c>
      <c r="C58" s="1299">
        <v>10</v>
      </c>
      <c r="D58" s="1299">
        <v>224684.796</v>
      </c>
      <c r="E58" s="1299">
        <v>19</v>
      </c>
      <c r="F58" s="1299">
        <v>103760.894</v>
      </c>
    </row>
    <row r="59" spans="1:6">
      <c r="A59" s="1298" t="s">
        <v>48</v>
      </c>
      <c r="B59" s="1298" t="s">
        <v>51</v>
      </c>
      <c r="C59" s="1299">
        <v>22</v>
      </c>
      <c r="D59" s="1299">
        <v>770525.29</v>
      </c>
      <c r="E59" s="1299">
        <v>101</v>
      </c>
      <c r="F59" s="1299">
        <v>2331179.8119999999</v>
      </c>
    </row>
    <row r="60" spans="1:6">
      <c r="A60" s="1298" t="s">
        <v>48</v>
      </c>
      <c r="B60" s="1298" t="s">
        <v>52</v>
      </c>
      <c r="C60" s="1299">
        <v>18</v>
      </c>
      <c r="D60" s="1299">
        <v>551943.90399999998</v>
      </c>
      <c r="E60" s="1299">
        <v>26</v>
      </c>
      <c r="F60" s="1299">
        <v>382339.89199999999</v>
      </c>
    </row>
    <row r="61" spans="1:6">
      <c r="A61" s="1298" t="s">
        <v>48</v>
      </c>
      <c r="B61" s="1298" t="s">
        <v>53</v>
      </c>
      <c r="C61" s="1299">
        <v>94</v>
      </c>
      <c r="D61" s="1299">
        <v>4117849.0109999999</v>
      </c>
      <c r="E61" s="1299">
        <v>201</v>
      </c>
      <c r="F61" s="1299">
        <v>6592497.8870000001</v>
      </c>
    </row>
    <row r="62" spans="1:6">
      <c r="A62" s="1298" t="s">
        <v>48</v>
      </c>
      <c r="B62" s="1298" t="s">
        <v>54</v>
      </c>
      <c r="C62" s="1299">
        <v>8</v>
      </c>
      <c r="D62" s="1299">
        <v>737487.14399999997</v>
      </c>
      <c r="E62" s="1299">
        <v>9</v>
      </c>
      <c r="F62" s="1299">
        <v>104342.015</v>
      </c>
    </row>
    <row r="63" spans="1:6">
      <c r="A63" s="1298" t="s">
        <v>48</v>
      </c>
      <c r="B63" s="1298" t="s">
        <v>28</v>
      </c>
      <c r="C63" s="1299">
        <v>74</v>
      </c>
      <c r="D63" s="1299">
        <v>2360053.037</v>
      </c>
      <c r="E63" s="1299">
        <v>93</v>
      </c>
      <c r="F63" s="1299">
        <v>942161.47600000002</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4</v>
      </c>
      <c r="F66" s="1299">
        <v>73865.414999999994</v>
      </c>
    </row>
    <row r="67" spans="1:6">
      <c r="A67" s="1300" t="s">
        <v>55</v>
      </c>
      <c r="B67" s="1300" t="s">
        <v>58</v>
      </c>
      <c r="C67" s="1299">
        <v>0</v>
      </c>
      <c r="D67" s="1299">
        <v>0</v>
      </c>
      <c r="E67" s="1299">
        <v>0</v>
      </c>
      <c r="F67" s="1299">
        <v>0</v>
      </c>
    </row>
    <row r="68" spans="1:6">
      <c r="A68" s="1293" t="s">
        <v>55</v>
      </c>
      <c r="B68" s="1293" t="s">
        <v>59</v>
      </c>
      <c r="C68" s="1302">
        <v>7</v>
      </c>
      <c r="D68" s="1302">
        <v>100202.588</v>
      </c>
      <c r="E68" s="1302">
        <v>25</v>
      </c>
      <c r="F68" s="1302">
        <v>158150.41800000001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24241343</v>
      </c>
      <c r="E73" s="446"/>
      <c r="F73" s="326"/>
    </row>
    <row r="74" spans="1:6">
      <c r="A74" s="1298" t="s">
        <v>63</v>
      </c>
      <c r="B74" s="1298" t="s">
        <v>639</v>
      </c>
      <c r="C74" s="1312" t="s">
        <v>641</v>
      </c>
      <c r="D74" s="1313">
        <v>5277644.5</v>
      </c>
      <c r="E74" s="446"/>
      <c r="F74" s="326"/>
    </row>
    <row r="75" spans="1:6">
      <c r="A75" s="1298" t="s">
        <v>64</v>
      </c>
      <c r="B75" s="1298" t="s">
        <v>638</v>
      </c>
      <c r="C75" s="1312" t="s">
        <v>642</v>
      </c>
      <c r="D75" s="1313">
        <v>14149180</v>
      </c>
      <c r="E75" s="446"/>
      <c r="F75" s="326"/>
    </row>
    <row r="76" spans="1:6">
      <c r="A76" s="1298" t="s">
        <v>64</v>
      </c>
      <c r="B76" s="1298" t="s">
        <v>639</v>
      </c>
      <c r="C76" s="1312" t="s">
        <v>643</v>
      </c>
      <c r="D76" s="1313">
        <v>2197104.5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105253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16273.708150553528</v>
      </c>
      <c r="C90" s="326"/>
      <c r="D90" s="326"/>
      <c r="E90" s="326"/>
      <c r="F90" s="326"/>
    </row>
    <row r="91" spans="1:6">
      <c r="A91" s="1298" t="s">
        <v>67</v>
      </c>
      <c r="B91" s="1299">
        <v>2505.5985116743241</v>
      </c>
      <c r="C91" s="326"/>
      <c r="D91" s="326"/>
      <c r="E91" s="326"/>
      <c r="F91" s="326"/>
    </row>
    <row r="92" spans="1:6">
      <c r="A92" s="1293" t="s">
        <v>68</v>
      </c>
      <c r="B92" s="1294">
        <v>7486.4316941956931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1190</v>
      </c>
      <c r="C97" s="326"/>
      <c r="D97" s="326"/>
      <c r="E97" s="326"/>
      <c r="F97" s="326"/>
    </row>
    <row r="98" spans="1:6">
      <c r="A98" s="1298" t="s">
        <v>71</v>
      </c>
      <c r="B98" s="1299">
        <v>0</v>
      </c>
      <c r="C98" s="326"/>
      <c r="D98" s="326"/>
      <c r="E98" s="326"/>
      <c r="F98" s="326"/>
    </row>
    <row r="99" spans="1:6">
      <c r="A99" s="1298" t="s">
        <v>72</v>
      </c>
      <c r="B99" s="1299">
        <v>52</v>
      </c>
      <c r="C99" s="326"/>
      <c r="D99" s="326"/>
      <c r="E99" s="326"/>
      <c r="F99" s="326"/>
    </row>
    <row r="100" spans="1:6">
      <c r="A100" s="1298" t="s">
        <v>73</v>
      </c>
      <c r="B100" s="1299">
        <v>255</v>
      </c>
      <c r="C100" s="326"/>
      <c r="D100" s="326"/>
      <c r="E100" s="326"/>
      <c r="F100" s="326"/>
    </row>
    <row r="101" spans="1:6">
      <c r="A101" s="1298" t="s">
        <v>74</v>
      </c>
      <c r="B101" s="1299">
        <v>72</v>
      </c>
      <c r="C101" s="326"/>
      <c r="D101" s="326"/>
      <c r="E101" s="326"/>
      <c r="F101" s="326"/>
    </row>
    <row r="102" spans="1:6">
      <c r="A102" s="1298" t="s">
        <v>75</v>
      </c>
      <c r="B102" s="1299">
        <v>71</v>
      </c>
      <c r="C102" s="326"/>
      <c r="D102" s="326"/>
      <c r="E102" s="326"/>
      <c r="F102" s="326"/>
    </row>
    <row r="103" spans="1:6">
      <c r="A103" s="1298" t="s">
        <v>76</v>
      </c>
      <c r="B103" s="1299">
        <v>104</v>
      </c>
      <c r="C103" s="326"/>
      <c r="D103" s="326"/>
      <c r="E103" s="326"/>
      <c r="F103" s="326"/>
    </row>
    <row r="104" spans="1:6">
      <c r="A104" s="1298" t="s">
        <v>77</v>
      </c>
      <c r="B104" s="1299">
        <v>1539</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35</v>
      </c>
      <c r="C123" s="1299">
        <v>17</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142</v>
      </c>
      <c r="C129" s="326"/>
      <c r="D129" s="326"/>
      <c r="E129" s="326"/>
      <c r="F129" s="326"/>
    </row>
    <row r="130" spans="1:6">
      <c r="A130" s="1298" t="s">
        <v>289</v>
      </c>
      <c r="B130" s="1299">
        <v>3</v>
      </c>
      <c r="C130" s="326"/>
      <c r="D130" s="326"/>
      <c r="E130" s="326"/>
      <c r="F130" s="326"/>
    </row>
    <row r="131" spans="1:6">
      <c r="A131" s="1298" t="s">
        <v>290</v>
      </c>
      <c r="B131" s="1299">
        <v>7</v>
      </c>
      <c r="C131" s="326"/>
      <c r="D131" s="326"/>
      <c r="E131" s="326"/>
      <c r="F131" s="326"/>
    </row>
    <row r="132" spans="1:6">
      <c r="A132" s="1293" t="s">
        <v>291</v>
      </c>
      <c r="B132" s="1294">
        <v>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383991.14411577053</v>
      </c>
      <c r="C3" s="43" t="s">
        <v>169</v>
      </c>
      <c r="D3" s="43"/>
      <c r="E3" s="154"/>
      <c r="F3" s="43"/>
      <c r="G3" s="43"/>
      <c r="H3" s="43"/>
      <c r="I3" s="43"/>
      <c r="J3" s="43"/>
      <c r="K3" s="96"/>
    </row>
    <row r="4" spans="1:11">
      <c r="A4" s="354" t="s">
        <v>170</v>
      </c>
      <c r="B4" s="49">
        <f>IF(ISERROR('SEAP template'!B78+'SEAP template'!C78),0,'SEAP template'!B78+'SEAP template'!C78)</f>
        <v>29208.738356423546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699.39529411764715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0.20601075878740413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999.13613445378166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4204.2857142857147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948.57399999999996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948.57399999999996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0.20601075878740413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195.41644950600309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13027.898289999999</v>
      </c>
      <c r="C5" s="17">
        <f>IF(ISERROR('Eigen informatie GS &amp; warmtenet'!B59),0,'Eigen informatie GS &amp; warmtenet'!B59)</f>
        <v>0</v>
      </c>
      <c r="D5" s="30">
        <f>(SUM(HH_hh_gas_kWh,HH_rest_gas_kWh)/1000)*0.902</f>
        <v>30263.533332119998</v>
      </c>
      <c r="E5" s="17">
        <f>B32*B41</f>
        <v>1383.3241918629255</v>
      </c>
      <c r="F5" s="17">
        <f>B36*B45</f>
        <v>22301.029676076221</v>
      </c>
      <c r="G5" s="18"/>
      <c r="H5" s="17"/>
      <c r="I5" s="17"/>
      <c r="J5" s="17">
        <f>B35*B44+C35*C44</f>
        <v>89.091630344625159</v>
      </c>
      <c r="K5" s="17"/>
      <c r="L5" s="17"/>
      <c r="M5" s="17"/>
      <c r="N5" s="17">
        <f>B34*B43+C34*C43</f>
        <v>5331.448484910673</v>
      </c>
      <c r="O5" s="17">
        <f>B52*B53*B54</f>
        <v>319.41727332131211</v>
      </c>
      <c r="P5" s="17">
        <f>B60*B61*B62/1000-B60*B61*B62/1000/B63</f>
        <v>516.16400607656612</v>
      </c>
    </row>
    <row r="6" spans="1:16">
      <c r="A6" s="16" t="s">
        <v>604</v>
      </c>
      <c r="B6" s="778">
        <f>kWh_PV_kleiner_dan_10kW</f>
        <v>2505.5985116743241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15533.496801674322</v>
      </c>
      <c r="C8" s="21">
        <f>C5</f>
        <v>0</v>
      </c>
      <c r="D8" s="21">
        <f>D5</f>
        <v>30263.533332119998</v>
      </c>
      <c r="E8" s="21">
        <f>E5</f>
        <v>1383.3241918629255</v>
      </c>
      <c r="F8" s="21">
        <f>F5</f>
        <v>22301.029676076221</v>
      </c>
      <c r="G8" s="21"/>
      <c r="H8" s="21"/>
      <c r="I8" s="21"/>
      <c r="J8" s="21">
        <f>J5</f>
        <v>89.091630344625159</v>
      </c>
      <c r="K8" s="21"/>
      <c r="L8" s="21">
        <f>L5</f>
        <v>0</v>
      </c>
      <c r="M8" s="21">
        <f>M5</f>
        <v>0</v>
      </c>
      <c r="N8" s="21">
        <f>N5</f>
        <v>5331.448484910673</v>
      </c>
      <c r="O8" s="21">
        <f>O5</f>
        <v>319.41727332131211</v>
      </c>
      <c r="P8" s="21">
        <f>P5</f>
        <v>516.16400607656612</v>
      </c>
    </row>
    <row r="9" spans="1:16">
      <c r="B9" s="19"/>
      <c r="C9" s="19"/>
      <c r="D9" s="256"/>
      <c r="E9" s="19"/>
      <c r="F9" s="19"/>
      <c r="G9" s="19"/>
      <c r="H9" s="19"/>
      <c r="I9" s="19"/>
      <c r="J9" s="19"/>
      <c r="K9" s="19"/>
      <c r="L9" s="19"/>
      <c r="M9" s="19"/>
      <c r="N9" s="19"/>
      <c r="O9" s="19"/>
      <c r="P9" s="19"/>
    </row>
    <row r="10" spans="1:16">
      <c r="A10" s="24" t="s">
        <v>213</v>
      </c>
      <c r="B10" s="25">
        <f ca="1">'EF ele_warmte'!B12</f>
        <v>0.20601075878740413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3200.0674627346425</v>
      </c>
      <c r="C12" s="23">
        <f ca="1">C10*C8</f>
        <v>0</v>
      </c>
      <c r="D12" s="23">
        <f>D8*D10</f>
        <v>6113.2337330882401</v>
      </c>
      <c r="E12" s="23">
        <f>E10*E8</f>
        <v>314.0145915528841</v>
      </c>
      <c r="F12" s="23">
        <f>F10*F8</f>
        <v>5954.3749235123514</v>
      </c>
      <c r="G12" s="23"/>
      <c r="H12" s="23"/>
      <c r="I12" s="23"/>
      <c r="J12" s="23">
        <f>J10*J8</f>
        <v>31.538437141997303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3833</v>
      </c>
      <c r="C26" s="36"/>
      <c r="D26" s="226"/>
    </row>
    <row r="27" spans="1:7" s="15" customFormat="1">
      <c r="A27" s="228" t="s">
        <v>806</v>
      </c>
      <c r="B27" s="37">
        <f>SUM(HH_hh_gas_aantal,HH_rest_gas_aantal)</f>
        <v>2295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2180.25</v>
      </c>
      <c r="C31" s="166" t="s">
        <v>110</v>
      </c>
      <c r="D31" s="231"/>
      <c r="G31" s="15"/>
    </row>
    <row r="32" spans="1:7">
      <c r="A32" s="169" t="s">
        <v>72</v>
      </c>
      <c r="B32" s="166">
        <f>IF((B21*($B$26-($B$27-0.05*$B$27)-$B$60))&lt;0,0,B21*($B$26-($B$27-0.05*$B$27)-$B$60))</f>
        <v>25.459849905397771</v>
      </c>
      <c r="C32" s="166" t="s">
        <v>110</v>
      </c>
      <c r="D32" s="231"/>
      <c r="G32" s="15"/>
    </row>
    <row r="33" spans="1:7">
      <c r="A33" s="169" t="s">
        <v>73</v>
      </c>
      <c r="B33" s="166">
        <f>IF((B22*($B$26-($B$27-0.05*$B$27)-$B$60))&lt;0,0,B22*($B$26-($B$27-0.05*$B$27)-$B$60))</f>
        <v>413.41753867747633</v>
      </c>
      <c r="C33" s="166" t="s">
        <v>110</v>
      </c>
      <c r="D33" s="231"/>
      <c r="G33" s="15"/>
    </row>
    <row r="34" spans="1:7">
      <c r="A34" s="169" t="s">
        <v>74</v>
      </c>
      <c r="B34" s="166">
        <f>IF((B24*($B$26-($B$27-0.05*$B$27)-$B$60))&lt;0,0,B24*($B$26-($B$27-0.05*$B$27)-$B$60))</f>
        <v>79.257674709840188</v>
      </c>
      <c r="C34" s="166">
        <f>B26*C24</f>
        <v>785.40446727848382</v>
      </c>
      <c r="D34" s="231"/>
      <c r="G34" s="15"/>
    </row>
    <row r="35" spans="1:7">
      <c r="A35" s="169" t="s">
        <v>76</v>
      </c>
      <c r="B35" s="166">
        <f>IF((B19*($B$26-($B$27-0.05*$B$27)-$B$60))&lt;0,0,B19*($B$26-($B$27-0.05*$B$27)-$B$60))</f>
        <v>11.06733605593285</v>
      </c>
      <c r="C35" s="166">
        <f>B35/2</f>
        <v>5.5336680279664252</v>
      </c>
      <c r="D35" s="232"/>
      <c r="G35" s="15"/>
    </row>
    <row r="36" spans="1:7">
      <c r="A36" s="169" t="s">
        <v>77</v>
      </c>
      <c r="B36" s="166">
        <f>IF((B18*($B$26-($B$27-0.05*$B$27)-$B$60))&lt;0,0,B18*($B$26-($B$27-0.05*$B$27)-$B$60))</f>
        <v>1074.5476006513525</v>
      </c>
      <c r="C36" s="166" t="s">
        <v>110</v>
      </c>
      <c r="D36" s="232"/>
      <c r="G36" s="15"/>
    </row>
    <row r="37" spans="1:7">
      <c r="A37" s="169" t="s">
        <v>78</v>
      </c>
      <c r="B37" s="166">
        <f>B60</f>
        <v>49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12349.131799999999</v>
      </c>
      <c r="C5" s="17">
        <f>IF(ISERROR('Eigen informatie GS &amp; warmtenet'!B60),0,'Eigen informatie GS &amp; warmtenet'!B60)</f>
        <v>0</v>
      </c>
      <c r="D5" s="30">
        <f>SUM(D6:D12)</f>
        <v>8546.7904292320018</v>
      </c>
      <c r="E5" s="17">
        <f>SUM(E6:E12)</f>
        <v>137.65038628289707</v>
      </c>
      <c r="F5" s="17">
        <f>SUM(F6:F12)</f>
        <v>1497.6399426809555</v>
      </c>
      <c r="G5" s="18"/>
      <c r="H5" s="17"/>
      <c r="I5" s="17"/>
      <c r="J5" s="17">
        <f>SUM(J6:J12)</f>
        <v>3.393872462924076E-2</v>
      </c>
      <c r="K5" s="17"/>
      <c r="L5" s="17"/>
      <c r="M5" s="17"/>
      <c r="N5" s="17">
        <f>SUM(N6:N12)</f>
        <v>1329.1502221784713</v>
      </c>
      <c r="O5" s="17">
        <f>B38*B39*B40</f>
        <v>14.691782297523464</v>
      </c>
      <c r="P5" s="17">
        <f>B46*B47*B48/1000-B46*B47*B48/1000/B49</f>
        <v>420.31310645196015</v>
      </c>
      <c r="R5" s="32"/>
    </row>
    <row r="6" spans="1:18">
      <c r="A6" s="32" t="s">
        <v>53</v>
      </c>
      <c r="B6" s="37">
        <f>B26</f>
        <v>6592.4978870000004</v>
      </c>
      <c r="C6" s="33"/>
      <c r="D6" s="37">
        <f>IF(ISERROR(TER_kantoor_gas_kWh/1000),0,TER_kantoor_gas_kWh/1000)*0.902</f>
        <v>3714.2998079220001</v>
      </c>
      <c r="E6" s="33">
        <f>$C$26*'E Balans VL '!I12/100/3.6*1000000</f>
        <v>53.047716775342394</v>
      </c>
      <c r="F6" s="33">
        <f>$C$26*('E Balans VL '!L12+'E Balans VL '!N12)/100/3.6*1000000</f>
        <v>806.00221754320796</v>
      </c>
      <c r="G6" s="34"/>
      <c r="H6" s="33"/>
      <c r="I6" s="33"/>
      <c r="J6" s="33">
        <f>$C$26*('E Balans VL '!D12+'E Balans VL '!E12)/100/3.6*1000000</f>
        <v>0</v>
      </c>
      <c r="K6" s="33"/>
      <c r="L6" s="33"/>
      <c r="M6" s="33"/>
      <c r="N6" s="33">
        <f>$C$26*'E Balans VL '!Y12/100/3.6*1000000</f>
        <v>3.5431429688793945</v>
      </c>
      <c r="O6" s="33"/>
      <c r="P6" s="33"/>
      <c r="R6" s="32"/>
    </row>
    <row r="7" spans="1:18">
      <c r="A7" s="32" t="s">
        <v>52</v>
      </c>
      <c r="B7" s="37">
        <f t="shared" ref="B7:B12" si="0">B27</f>
        <v>382.33989200000002</v>
      </c>
      <c r="C7" s="33"/>
      <c r="D7" s="37">
        <f>IF(ISERROR(TER_horeca_gas_kWh/1000),0,TER_horeca_gas_kWh/1000)*0.902</f>
        <v>497.85340140799997</v>
      </c>
      <c r="E7" s="33">
        <f>$C$27*'E Balans VL '!I9/100/3.6*1000000</f>
        <v>4.1053915774449763</v>
      </c>
      <c r="F7" s="33">
        <f>$C$27*('E Balans VL '!L9+'E Balans VL '!N9)/100/3.6*1000000</f>
        <v>45.986217765049858</v>
      </c>
      <c r="G7" s="34"/>
      <c r="H7" s="33"/>
      <c r="I7" s="33"/>
      <c r="J7" s="33">
        <f>$C$27*('E Balans VL '!D9+'E Balans VL '!E9)/100/3.6*1000000</f>
        <v>0</v>
      </c>
      <c r="K7" s="33"/>
      <c r="L7" s="33"/>
      <c r="M7" s="33"/>
      <c r="N7" s="33">
        <f>$C$27*'E Balans VL '!Y9/100/3.6*1000000</f>
        <v>5.7320498940748206E-2</v>
      </c>
      <c r="O7" s="33"/>
      <c r="P7" s="33"/>
      <c r="R7" s="32"/>
    </row>
    <row r="8" spans="1:18">
      <c r="A8" s="6" t="s">
        <v>51</v>
      </c>
      <c r="B8" s="37">
        <f t="shared" si="0"/>
        <v>2331.1798119999999</v>
      </c>
      <c r="C8" s="33"/>
      <c r="D8" s="37">
        <f>IF(ISERROR(TER_handel_gas_kWh/1000),0,TER_handel_gas_kWh/1000)*0.902</f>
        <v>695.01381158000004</v>
      </c>
      <c r="E8" s="33">
        <f>$C$28*'E Balans VL '!I13/100/3.6*1000000</f>
        <v>62.561729316318548</v>
      </c>
      <c r="F8" s="33">
        <f>$C$28*('E Balans VL '!L13+'E Balans VL '!N13)/100/3.6*1000000</f>
        <v>222.4664028792098</v>
      </c>
      <c r="G8" s="34"/>
      <c r="H8" s="33"/>
      <c r="I8" s="33"/>
      <c r="J8" s="33">
        <f>$C$28*('E Balans VL '!D13+'E Balans VL '!E13)/100/3.6*1000000</f>
        <v>0</v>
      </c>
      <c r="K8" s="33"/>
      <c r="L8" s="33"/>
      <c r="M8" s="33"/>
      <c r="N8" s="33">
        <f>$C$28*'E Balans VL '!Y13/100/3.6*1000000</f>
        <v>0.92410618388988719</v>
      </c>
      <c r="O8" s="33"/>
      <c r="P8" s="33"/>
      <c r="R8" s="32"/>
    </row>
    <row r="9" spans="1:18">
      <c r="A9" s="32" t="s">
        <v>50</v>
      </c>
      <c r="B9" s="37">
        <f t="shared" si="0"/>
        <v>103.76089399999999</v>
      </c>
      <c r="C9" s="33"/>
      <c r="D9" s="37">
        <f>IF(ISERROR(TER_gezond_gas_kWh/1000),0,TER_gezond_gas_kWh/1000)*0.902</f>
        <v>202.66568599200002</v>
      </c>
      <c r="E9" s="33">
        <f>$C$29*'E Balans VL '!I10/100/3.6*1000000</f>
        <v>0.19448170137020346</v>
      </c>
      <c r="F9" s="33">
        <f>$C$29*('E Balans VL '!L10+'E Balans VL '!N10)/100/3.6*1000000</f>
        <v>8.5300922320078936</v>
      </c>
      <c r="G9" s="34"/>
      <c r="H9" s="33"/>
      <c r="I9" s="33"/>
      <c r="J9" s="33">
        <f>$C$29*('E Balans VL '!D10+'E Balans VL '!E10)/100/3.6*1000000</f>
        <v>0</v>
      </c>
      <c r="K9" s="33"/>
      <c r="L9" s="33"/>
      <c r="M9" s="33"/>
      <c r="N9" s="33">
        <f>$C$29*'E Balans VL '!Y10/100/3.6*1000000</f>
        <v>0.80733717207070099</v>
      </c>
      <c r="O9" s="33"/>
      <c r="P9" s="33"/>
      <c r="R9" s="32"/>
    </row>
    <row r="10" spans="1:18">
      <c r="A10" s="32" t="s">
        <v>49</v>
      </c>
      <c r="B10" s="37">
        <f t="shared" si="0"/>
        <v>1892.8498240000001</v>
      </c>
      <c r="C10" s="33"/>
      <c r="D10" s="37">
        <f>IF(ISERROR(TER_ander_gas_kWh/1000),0,TER_ander_gas_kWh/1000)*0.902</f>
        <v>642.976479068</v>
      </c>
      <c r="E10" s="33">
        <f>$C$30*'E Balans VL '!I14/100/3.6*1000000</f>
        <v>2.9178471836469115</v>
      </c>
      <c r="F10" s="33">
        <f>$C$30*('E Balans VL '!L14+'E Balans VL '!N14)/100/3.6*1000000</f>
        <v>293.86545772592314</v>
      </c>
      <c r="G10" s="34"/>
      <c r="H10" s="33"/>
      <c r="I10" s="33"/>
      <c r="J10" s="33">
        <f>$C$30*('E Balans VL '!D14+'E Balans VL '!E14)/100/3.6*1000000</f>
        <v>3.2133122008766751E-2</v>
      </c>
      <c r="K10" s="33"/>
      <c r="L10" s="33"/>
      <c r="M10" s="33"/>
      <c r="N10" s="33">
        <f>$C$30*'E Balans VL '!Y14/100/3.6*1000000</f>
        <v>1252.248778176918</v>
      </c>
      <c r="O10" s="33"/>
      <c r="P10" s="33"/>
      <c r="R10" s="32"/>
    </row>
    <row r="11" spans="1:18">
      <c r="A11" s="32" t="s">
        <v>54</v>
      </c>
      <c r="B11" s="37">
        <f t="shared" si="0"/>
        <v>104.342015</v>
      </c>
      <c r="C11" s="33"/>
      <c r="D11" s="37">
        <f>IF(ISERROR(TER_onderwijs_gas_kWh/1000),0,TER_onderwijs_gas_kWh/1000)*0.902</f>
        <v>665.21340388800002</v>
      </c>
      <c r="E11" s="33">
        <f>$C$31*'E Balans VL '!I11/100/3.6*1000000</f>
        <v>2.6614340443508202</v>
      </c>
      <c r="F11" s="33">
        <f>$C$31*('E Balans VL '!L11+'E Balans VL '!N11)/100/3.6*1000000</f>
        <v>12.548109408195026</v>
      </c>
      <c r="G11" s="34"/>
      <c r="H11" s="33"/>
      <c r="I11" s="33"/>
      <c r="J11" s="33">
        <f>$C$31*('E Balans VL '!D11+'E Balans VL '!E11)/100/3.6*1000000</f>
        <v>0</v>
      </c>
      <c r="K11" s="33"/>
      <c r="L11" s="33"/>
      <c r="M11" s="33"/>
      <c r="N11" s="33">
        <f>$C$31*'E Balans VL '!Y11/100/3.6*1000000</f>
        <v>0.23205409539289629</v>
      </c>
      <c r="O11" s="33"/>
      <c r="P11" s="33"/>
      <c r="R11" s="32"/>
    </row>
    <row r="12" spans="1:18">
      <c r="A12" s="32" t="s">
        <v>254</v>
      </c>
      <c r="B12" s="37">
        <f t="shared" si="0"/>
        <v>942.16147599999999</v>
      </c>
      <c r="C12" s="33"/>
      <c r="D12" s="37">
        <f>IF(ISERROR(TER_rest_gas_kWh/1000),0,TER_rest_gas_kWh/1000)*0.902</f>
        <v>2128.7678393740002</v>
      </c>
      <c r="E12" s="33">
        <f>$C$32*'E Balans VL '!I8/100/3.6*1000000</f>
        <v>12.161785684423208</v>
      </c>
      <c r="F12" s="33">
        <f>$C$32*('E Balans VL '!L8+'E Balans VL '!N8)/100/3.6*1000000</f>
        <v>108.24144512736194</v>
      </c>
      <c r="G12" s="34"/>
      <c r="H12" s="33"/>
      <c r="I12" s="33"/>
      <c r="J12" s="33">
        <f>$C$32*('E Balans VL '!D8+'E Balans VL '!E8)/100/3.6*1000000</f>
        <v>1.8056026204740084E-3</v>
      </c>
      <c r="K12" s="33"/>
      <c r="L12" s="33"/>
      <c r="M12" s="33"/>
      <c r="N12" s="33">
        <f>$C$32*'E Balans VL '!Y8/100/3.6*1000000</f>
        <v>71.337483082379677</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12349.131799999999</v>
      </c>
      <c r="C16" s="21">
        <f t="shared" ca="1" si="1"/>
        <v>0</v>
      </c>
      <c r="D16" s="21">
        <f t="shared" ca="1" si="1"/>
        <v>8546.7904292320018</v>
      </c>
      <c r="E16" s="21">
        <f t="shared" si="1"/>
        <v>137.65038628289707</v>
      </c>
      <c r="F16" s="21">
        <f t="shared" ca="1" si="1"/>
        <v>1497.6399426809555</v>
      </c>
      <c r="G16" s="21">
        <f t="shared" si="1"/>
        <v>0</v>
      </c>
      <c r="H16" s="21">
        <f t="shared" si="1"/>
        <v>0</v>
      </c>
      <c r="I16" s="21">
        <f t="shared" si="1"/>
        <v>0</v>
      </c>
      <c r="J16" s="21">
        <f t="shared" si="1"/>
        <v>3.393872462924076E-2</v>
      </c>
      <c r="K16" s="21">
        <f t="shared" si="1"/>
        <v>0</v>
      </c>
      <c r="L16" s="21">
        <f t="shared" ca="1" si="1"/>
        <v>0</v>
      </c>
      <c r="M16" s="21">
        <f t="shared" si="1"/>
        <v>0</v>
      </c>
      <c r="N16" s="21">
        <f t="shared" ca="1" si="1"/>
        <v>1329.1502221784713</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0.20601075878740413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2544.0540124836616</v>
      </c>
      <c r="C20" s="23">
        <f t="shared" ref="C20:P20" ca="1" si="2">C16*C18</f>
        <v>0</v>
      </c>
      <c r="D20" s="23">
        <f t="shared" ca="1" si="2"/>
        <v>1726.4516667048645</v>
      </c>
      <c r="E20" s="23">
        <f t="shared" si="2"/>
        <v>31.246637686217635</v>
      </c>
      <c r="F20" s="23">
        <f t="shared" ca="1" si="2"/>
        <v>399.86986469581512</v>
      </c>
      <c r="G20" s="23">
        <f t="shared" si="2"/>
        <v>0</v>
      </c>
      <c r="H20" s="23">
        <f t="shared" si="2"/>
        <v>0</v>
      </c>
      <c r="I20" s="23">
        <f t="shared" si="2"/>
        <v>0</v>
      </c>
      <c r="J20" s="23">
        <f t="shared" si="2"/>
        <v>1.2014308518751229E-2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6592.4978870000004</v>
      </c>
      <c r="C26" s="39">
        <f>IF(ISERROR(B26*3.6/1000000/'E Balans VL '!Z12*100),0,B26*3.6/1000000/'E Balans VL '!Z12*100)</f>
        <v>0.1398538112297511</v>
      </c>
      <c r="D26" s="235" t="s">
        <v>698</v>
      </c>
      <c r="F26" s="6"/>
    </row>
    <row r="27" spans="1:18">
      <c r="A27" s="229" t="s">
        <v>52</v>
      </c>
      <c r="B27" s="33">
        <f>IF(ISERROR(TER_horeca_ele_kWh/1000),0,TER_horeca_ele_kWh/1000)</f>
        <v>382.33989200000002</v>
      </c>
      <c r="C27" s="39">
        <f>IF(ISERROR(B27*3.6/1000000/'E Balans VL '!Z9*100),0,B27*3.6/1000000/'E Balans VL '!Z9*100)</f>
        <v>2.8793580828040507E-2</v>
      </c>
      <c r="D27" s="235" t="s">
        <v>698</v>
      </c>
      <c r="F27" s="6"/>
    </row>
    <row r="28" spans="1:18">
      <c r="A28" s="169" t="s">
        <v>51</v>
      </c>
      <c r="B28" s="33">
        <f>IF(ISERROR(TER_handel_ele_kWh/1000),0,TER_handel_ele_kWh/1000)</f>
        <v>2331.1798119999999</v>
      </c>
      <c r="C28" s="39">
        <f>IF(ISERROR(B28*3.6/1000000/'E Balans VL '!Z13*100),0,B28*3.6/1000000/'E Balans VL '!Z13*100)</f>
        <v>6.7665889927824852E-2</v>
      </c>
      <c r="D28" s="235" t="s">
        <v>698</v>
      </c>
      <c r="F28" s="6"/>
    </row>
    <row r="29" spans="1:18">
      <c r="A29" s="229" t="s">
        <v>50</v>
      </c>
      <c r="B29" s="33">
        <f>IF(ISERROR(TER_gezond_ele_kWh/1000),0,TER_gezond_ele_kWh/1000)</f>
        <v>103.76089399999999</v>
      </c>
      <c r="C29" s="39">
        <f>IF(ISERROR(B29*3.6/1000000/'E Balans VL '!Z10*100),0,B29*3.6/1000000/'E Balans VL '!Z10*100)</f>
        <v>1.0464409899805911E-2</v>
      </c>
      <c r="D29" s="235" t="s">
        <v>698</v>
      </c>
      <c r="F29" s="6"/>
    </row>
    <row r="30" spans="1:18">
      <c r="A30" s="229" t="s">
        <v>49</v>
      </c>
      <c r="B30" s="33">
        <f>IF(ISERROR(TER_ander_ele_kWh/1000),0,TER_ander_ele_kWh/1000)</f>
        <v>1892.8498240000001</v>
      </c>
      <c r="C30" s="39">
        <f>IF(ISERROR(B30*3.6/1000000/'E Balans VL '!Z14*100),0,B30*3.6/1000000/'E Balans VL '!Z14*100)</f>
        <v>0.13735207793761556</v>
      </c>
      <c r="D30" s="235" t="s">
        <v>698</v>
      </c>
      <c r="F30" s="6"/>
    </row>
    <row r="31" spans="1:18">
      <c r="A31" s="229" t="s">
        <v>54</v>
      </c>
      <c r="B31" s="33">
        <f>IF(ISERROR(TER_onderwijs_ele_kWh/1000),0,TER_onderwijs_ele_kWh/1000)</f>
        <v>104.342015</v>
      </c>
      <c r="C31" s="39">
        <f>IF(ISERROR(B31*3.6/1000000/'E Balans VL '!Z11*100),0,B31*3.6/1000000/'E Balans VL '!Z11*100)</f>
        <v>2.9741723279699872E-2</v>
      </c>
      <c r="D31" s="235" t="s">
        <v>698</v>
      </c>
    </row>
    <row r="32" spans="1:18">
      <c r="A32" s="229" t="s">
        <v>254</v>
      </c>
      <c r="B32" s="33">
        <f>IF(ISERROR(TER_rest_ele_kWh/1000),0,TER_rest_ele_kWh/1000)</f>
        <v>942.16147599999999</v>
      </c>
      <c r="C32" s="39">
        <f>IF(ISERROR(B32*3.6/1000000/'E Balans VL '!Z8*100),0,B32*3.6/1000000/'E Balans VL '!Z8*100)</f>
        <v>7.7179949020841215E-3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8</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350694.49373599997</v>
      </c>
      <c r="C5" s="17">
        <f>IF(ISERROR('Eigen informatie GS &amp; warmtenet'!B61),0,'Eigen informatie GS &amp; warmtenet'!B61)</f>
        <v>0</v>
      </c>
      <c r="D5" s="30">
        <f>SUM(D6:D15)</f>
        <v>386371.11444234604</v>
      </c>
      <c r="E5" s="17">
        <f>SUM(E6:E15)</f>
        <v>48653.226574283537</v>
      </c>
      <c r="F5" s="17">
        <f>SUM(F6:F15)</f>
        <v>150229.02762949854</v>
      </c>
      <c r="G5" s="18"/>
      <c r="H5" s="17"/>
      <c r="I5" s="17"/>
      <c r="J5" s="17">
        <f>SUM(J6:J15)</f>
        <v>389.76789777570849</v>
      </c>
      <c r="K5" s="17"/>
      <c r="L5" s="17"/>
      <c r="M5" s="17"/>
      <c r="N5" s="17">
        <f>SUM(N6:N15)</f>
        <v>20163.004789385774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347.43239199999999</v>
      </c>
      <c r="C8" s="33"/>
      <c r="D8" s="37">
        <f>IF( ISERROR(IND_metaal_Gas_kWH/1000),0,IND_metaal_Gas_kWH/1000)*0.902</f>
        <v>51.125918337999998</v>
      </c>
      <c r="E8" s="33">
        <f>C30*'E Balans VL '!I18/100/3.6*1000000</f>
        <v>2.5064808574371011</v>
      </c>
      <c r="F8" s="33">
        <f>C30*'E Balans VL '!L18/100/3.6*1000000+C30*'E Balans VL '!N18/100/3.6*1000000</f>
        <v>32.860698078647502</v>
      </c>
      <c r="G8" s="34"/>
      <c r="H8" s="33"/>
      <c r="I8" s="33"/>
      <c r="J8" s="40">
        <f>C30*'E Balans VL '!D18/100/3.6*1000000+C30*'E Balans VL '!E18/100/3.6*1000000</f>
        <v>0.34944951887206216</v>
      </c>
      <c r="K8" s="33"/>
      <c r="L8" s="33"/>
      <c r="M8" s="33"/>
      <c r="N8" s="33">
        <f>C30*'E Balans VL '!Y18/100/3.6*1000000</f>
        <v>4.3924646502383613</v>
      </c>
      <c r="O8" s="33"/>
      <c r="P8" s="33"/>
      <c r="R8" s="32"/>
    </row>
    <row r="9" spans="1:18">
      <c r="A9" s="6" t="s">
        <v>32</v>
      </c>
      <c r="B9" s="37">
        <f t="shared" si="0"/>
        <v>166189.6349</v>
      </c>
      <c r="C9" s="33"/>
      <c r="D9" s="37">
        <f>IF( ISERROR(IND_andere_gas_kWh/1000),0,IND_andere_gas_kWh/1000)*0.902</f>
        <v>61643.829923720004</v>
      </c>
      <c r="E9" s="33">
        <f>C31*'E Balans VL '!I19/100/3.6*1000000</f>
        <v>46053.370064615039</v>
      </c>
      <c r="F9" s="33">
        <f>C31*'E Balans VL '!L19/100/3.6*1000000+C31*'E Balans VL '!N19/100/3.6*1000000</f>
        <v>137738.3285436889</v>
      </c>
      <c r="G9" s="34"/>
      <c r="H9" s="33"/>
      <c r="I9" s="33"/>
      <c r="J9" s="40">
        <f>C31*'E Balans VL '!D19/100/3.6*1000000+C31*'E Balans VL '!E19/100/3.6*1000000</f>
        <v>0</v>
      </c>
      <c r="K9" s="33"/>
      <c r="L9" s="33"/>
      <c r="M9" s="33"/>
      <c r="N9" s="33">
        <f>C31*'E Balans VL '!Y19/100/3.6*1000000</f>
        <v>12063.334774446512</v>
      </c>
      <c r="O9" s="33"/>
      <c r="P9" s="33"/>
      <c r="R9" s="32"/>
    </row>
    <row r="10" spans="1:18">
      <c r="A10" s="6" t="s">
        <v>40</v>
      </c>
      <c r="B10" s="37">
        <f t="shared" si="0"/>
        <v>14445.189970000001</v>
      </c>
      <c r="C10" s="33"/>
      <c r="D10" s="37">
        <f>IF( ISERROR(IND_voed_gas_kWh/1000),0,IND_voed_gas_kWh/1000)*0.902</f>
        <v>991.50252308800009</v>
      </c>
      <c r="E10" s="33">
        <f>C32*'E Balans VL '!I20/100/3.6*1000000</f>
        <v>25.572879146440645</v>
      </c>
      <c r="F10" s="33">
        <f>C32*'E Balans VL '!L20/100/3.6*1000000+C32*'E Balans VL '!N20/100/3.6*1000000</f>
        <v>780.1682849502871</v>
      </c>
      <c r="G10" s="34"/>
      <c r="H10" s="33"/>
      <c r="I10" s="33"/>
      <c r="J10" s="40">
        <f>C32*'E Balans VL '!D20/100/3.6*1000000+C32*'E Balans VL '!E20/100/3.6*1000000</f>
        <v>0</v>
      </c>
      <c r="K10" s="33"/>
      <c r="L10" s="33"/>
      <c r="M10" s="33"/>
      <c r="N10" s="33">
        <f>C32*'E Balans VL '!Y20/100/3.6*1000000</f>
        <v>839.37585654747738</v>
      </c>
      <c r="O10" s="33"/>
      <c r="P10" s="33"/>
      <c r="R10" s="32"/>
    </row>
    <row r="11" spans="1:18">
      <c r="A11" s="6" t="s">
        <v>39</v>
      </c>
      <c r="B11" s="37">
        <f t="shared" si="0"/>
        <v>124429.478</v>
      </c>
      <c r="C11" s="33"/>
      <c r="D11" s="37">
        <f>IF( ISERROR(IND_textiel_gas_kWh/1000),0,IND_textiel_gas_kWh/1000)*0.902</f>
        <v>106553.6557976</v>
      </c>
      <c r="E11" s="33">
        <f>C33*'E Balans VL '!I21/100/3.6*1000000</f>
        <v>438.62682510394814</v>
      </c>
      <c r="F11" s="33">
        <f>C33*'E Balans VL '!L21/100/3.6*1000000+C33*'E Balans VL '!N21/100/3.6*1000000</f>
        <v>3652.1912463310514</v>
      </c>
      <c r="G11" s="34"/>
      <c r="H11" s="33"/>
      <c r="I11" s="33"/>
      <c r="J11" s="40">
        <f>C33*'E Balans VL '!D21/100/3.6*1000000+C33*'E Balans VL '!E21/100/3.6*1000000</f>
        <v>0</v>
      </c>
      <c r="K11" s="33"/>
      <c r="L11" s="33"/>
      <c r="M11" s="33"/>
      <c r="N11" s="33">
        <f>C33*'E Balans VL '!Y21/100/3.6*1000000</f>
        <v>5482.3449890635347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151.54485399999999</v>
      </c>
      <c r="C13" s="33"/>
      <c r="D13" s="37">
        <f>IF( ISERROR(IND_papier_gas_kWh/1000),0,IND_papier_gas_kWh/1000)*0.902</f>
        <v>0</v>
      </c>
      <c r="E13" s="33">
        <f>C35*'E Balans VL '!I23/100/3.6*1000000</f>
        <v>0.22297451773265117</v>
      </c>
      <c r="F13" s="33">
        <f>C35*'E Balans VL '!L23/100/3.6*1000000+C35*'E Balans VL '!N23/100/3.6*1000000</f>
        <v>1.6226372044512329</v>
      </c>
      <c r="G13" s="34"/>
      <c r="H13" s="33"/>
      <c r="I13" s="33"/>
      <c r="J13" s="40">
        <f>C35*'E Balans VL '!D23/100/3.6*1000000+C35*'E Balans VL '!E23/100/3.6*1000000</f>
        <v>16.579856846670911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45131.213619999995</v>
      </c>
      <c r="C15" s="33"/>
      <c r="D15" s="37">
        <f>IF( ISERROR(IND_rest_gas_kWh/1000),0,IND_rest_gas_kWh/1000)*0.902</f>
        <v>217131.0002796</v>
      </c>
      <c r="E15" s="33">
        <f>C37*'E Balans VL '!I15/100/3.6*1000000</f>
        <v>2132.9273500429335</v>
      </c>
      <c r="F15" s="33">
        <f>C37*'E Balans VL '!L15/100/3.6*1000000+C37*'E Balans VL '!N15/100/3.6*1000000</f>
        <v>8023.8562192452082</v>
      </c>
      <c r="G15" s="34"/>
      <c r="H15" s="33"/>
      <c r="I15" s="33"/>
      <c r="J15" s="40">
        <f>C37*'E Balans VL '!D15/100/3.6*1000000+C37*'E Balans VL '!E15/100/3.6*1000000</f>
        <v>372.83859141016552</v>
      </c>
      <c r="K15" s="33"/>
      <c r="L15" s="33"/>
      <c r="M15" s="33"/>
      <c r="N15" s="33">
        <f>C37*'E Balans VL '!Y15/100/3.6*1000000</f>
        <v>1773.5567046780091</v>
      </c>
      <c r="O15" s="33"/>
      <c r="P15" s="33"/>
      <c r="R15" s="32"/>
    </row>
    <row r="16" spans="1:18">
      <c r="A16" s="16" t="s">
        <v>471</v>
      </c>
      <c r="B16" s="245">
        <f>'lokale energieproductie'!N38+'lokale energieproductie'!N31</f>
        <v>2943</v>
      </c>
      <c r="C16" s="245">
        <f>'lokale energieproductie'!O38+'lokale energieproductie'!O31</f>
        <v>4204.2857142857147</v>
      </c>
      <c r="D16" s="304">
        <f>('lokale energieproductie'!P31+'lokale energieproductie'!P38)*(-1)</f>
        <v>-8408.5714285714294</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353637.49373599997</v>
      </c>
      <c r="C18" s="21">
        <f>C5+C16</f>
        <v>4204.2857142857147</v>
      </c>
      <c r="D18" s="21">
        <f>MAX((D5+D16),0)</f>
        <v>377962.54301377462</v>
      </c>
      <c r="E18" s="21">
        <f>MAX((E5+E16),0)</f>
        <v>48653.226574283537</v>
      </c>
      <c r="F18" s="21">
        <f>MAX((F5+F16),0)</f>
        <v>150229.02762949854</v>
      </c>
      <c r="G18" s="21"/>
      <c r="H18" s="21"/>
      <c r="I18" s="21"/>
      <c r="J18" s="21">
        <f>MAX((J5+J16),0)</f>
        <v>389.76789777570849</v>
      </c>
      <c r="K18" s="21"/>
      <c r="L18" s="21">
        <f>MAX((L5+L16),0)</f>
        <v>0</v>
      </c>
      <c r="M18" s="21"/>
      <c r="N18" s="21">
        <f>MAX((N5+N16),0)</f>
        <v>20163.004789385774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0.20601075878740413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72853.12842022923</v>
      </c>
      <c r="C22" s="23">
        <f ca="1">C18*C20</f>
        <v>999.13613445378166</v>
      </c>
      <c r="D22" s="23">
        <f>D18*D20</f>
        <v>76348.433688782476</v>
      </c>
      <c r="E22" s="23">
        <f>E18*E20</f>
        <v>11044.282432362363</v>
      </c>
      <c r="F22" s="23">
        <f>F18*F20</f>
        <v>40111.150377076112</v>
      </c>
      <c r="G22" s="23"/>
      <c r="H22" s="23"/>
      <c r="I22" s="23"/>
      <c r="J22" s="23">
        <f>J18*J20</f>
        <v>137.9778358126008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347.43239199999999</v>
      </c>
      <c r="C30" s="39">
        <f>IF(ISERROR(B30*3.6/1000000/'E Balans VL '!Z18*100),0,B30*3.6/1000000/'E Balans VL '!Z18*100)</f>
        <v>2.0056729874837424E-2</v>
      </c>
      <c r="D30" s="235" t="s">
        <v>698</v>
      </c>
    </row>
    <row r="31" spans="1:18">
      <c r="A31" s="6" t="s">
        <v>32</v>
      </c>
      <c r="B31" s="37">
        <f>IF( ISERROR(IND_ander_ele_kWh/1000),0,IND_ander_ele_kWh/1000)</f>
        <v>166189.6349</v>
      </c>
      <c r="C31" s="39">
        <f>IF(ISERROR(B31*3.6/1000000/'E Balans VL '!Z19*100),0,B31*3.6/1000000/'E Balans VL '!Z19*100)</f>
        <v>8.3587999526267982</v>
      </c>
      <c r="D31" s="235" t="s">
        <v>698</v>
      </c>
    </row>
    <row r="32" spans="1:18">
      <c r="A32" s="169" t="s">
        <v>40</v>
      </c>
      <c r="B32" s="37">
        <f>IF( ISERROR(IND_voed_ele_kWh/1000),0,IND_voed_ele_kWh/1000)</f>
        <v>14445.189970000001</v>
      </c>
      <c r="C32" s="39">
        <f>IF(ISERROR(B32*3.6/1000000/'E Balans VL '!Z20*100),0,B32*3.6/1000000/'E Balans VL '!Z20*100)</f>
        <v>0.48111060512268222</v>
      </c>
      <c r="D32" s="235" t="s">
        <v>698</v>
      </c>
    </row>
    <row r="33" spans="1:5">
      <c r="A33" s="169" t="s">
        <v>39</v>
      </c>
      <c r="B33" s="37">
        <f>IF( ISERROR(IND_textiel_ele_kWh/1000),0,IND_textiel_ele_kWh/1000)</f>
        <v>124429.478</v>
      </c>
      <c r="C33" s="39">
        <f>IF(ISERROR(B33*3.6/1000000/'E Balans VL '!Z21*100),0,B33*3.6/1000000/'E Balans VL '!Z21*100)</f>
        <v>19.400139287860931</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151.54485399999999</v>
      </c>
      <c r="C35" s="39">
        <f>IF(ISERROR(B35*3.6/1000000/'E Balans VL '!Z22*100),0,B35*3.6/1000000/'E Balans VL '!Z22*100)</f>
        <v>2.8268233904283128E-2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45131.213619999995</v>
      </c>
      <c r="C37" s="39">
        <f>IF(ISERROR(B37*3.6/1000000/'E Balans VL '!Z15*100),0,B37*3.6/1000000/'E Balans VL '!Z15*100)</f>
        <v>0.35214688346054812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1089.508178</v>
      </c>
      <c r="C5" s="17">
        <f>'Eigen informatie GS &amp; warmtenet'!B62</f>
        <v>0</v>
      </c>
      <c r="D5" s="30">
        <f>IF(ISERROR(SUM(LB_lb_gas_kWh,LB_rest_gas_kWh)/1000),0,SUM(LB_lb_gas_kWh,LB_rest_gas_kWh)/1000)*0.902</f>
        <v>204.169974844</v>
      </c>
      <c r="E5" s="17">
        <f>B17*'E Balans VL '!I25/3.6*1000000/100</f>
        <v>34.003190959905957</v>
      </c>
      <c r="F5" s="17">
        <f>B17*('E Balans VL '!L25/3.6*1000000+'E Balans VL '!N25/3.6*1000000)/100</f>
        <v>3850.4425935121603</v>
      </c>
      <c r="G5" s="18"/>
      <c r="H5" s="17"/>
      <c r="I5" s="17"/>
      <c r="J5" s="17">
        <f>('E Balans VL '!D25+'E Balans VL '!E25)/3.6*1000000*landbouw!B17/100</f>
        <v>300.16705871199707</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1089.508178</v>
      </c>
      <c r="C8" s="21">
        <f>C5+C6</f>
        <v>0</v>
      </c>
      <c r="D8" s="21">
        <f>MAX((D5+D6),0)</f>
        <v>204.169974844</v>
      </c>
      <c r="E8" s="21">
        <f>MAX((E5+E6),0)</f>
        <v>34.003190959905957</v>
      </c>
      <c r="F8" s="21">
        <f>MAX((F5+F6),0)</f>
        <v>3850.4425935121603</v>
      </c>
      <c r="G8" s="21"/>
      <c r="H8" s="21"/>
      <c r="I8" s="21"/>
      <c r="J8" s="21">
        <f>MAX((J5+J6),0)</f>
        <v>300.16705871199707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0.20601075878740413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224.45040645486216</v>
      </c>
      <c r="C12" s="23">
        <f ca="1">C8*C10</f>
        <v>0</v>
      </c>
      <c r="D12" s="23">
        <f>D8*D10</f>
        <v>41.242334918487998</v>
      </c>
      <c r="E12" s="23">
        <f>E8*E10</f>
        <v>7.7187243478986529</v>
      </c>
      <c r="F12" s="23">
        <f>F8*F10</f>
        <v>1028.0681724677468</v>
      </c>
      <c r="G12" s="23"/>
      <c r="H12" s="23"/>
      <c r="I12" s="23"/>
      <c r="J12" s="23">
        <f>J8*J10</f>
        <v>106.25913878404695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0.16196320099413181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190.27631577503448</v>
      </c>
      <c r="C26" s="245">
        <f>B26*'GWP N2O_CH4'!B5</f>
        <v>3995.8026312757238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116.49141290610831</v>
      </c>
      <c r="C27" s="245">
        <f>B27*'GWP N2O_CH4'!B5</f>
        <v>2446.3196710282746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3.4066629487129956</v>
      </c>
      <c r="C28" s="245">
        <f>B28*'GWP N2O_CH4'!B4</f>
        <v>1056.0655141010286</v>
      </c>
      <c r="D28" s="50"/>
    </row>
    <row r="29" spans="1:4">
      <c r="A29" s="41" t="s">
        <v>271</v>
      </c>
      <c r="B29" s="245">
        <f>B34*'ha_N2O bodem landbouw'!B4</f>
        <v>6.7611086765977149</v>
      </c>
      <c r="C29" s="245">
        <f>B29*'GWP N2O_CH4'!B4</f>
        <v>2095.9436897452915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1.4825894017532564E-3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1.4161579574671965E-4</v>
      </c>
      <c r="C5" s="433" t="s">
        <v>210</v>
      </c>
      <c r="D5" s="418">
        <f>SUM(D6:D11)</f>
        <v>2.6448656302593314E-4</v>
      </c>
      <c r="E5" s="418">
        <f>SUM(E6:E11)</f>
        <v>2.2690691660647028E-4</v>
      </c>
      <c r="F5" s="431" t="s">
        <v>210</v>
      </c>
      <c r="G5" s="418">
        <f>SUM(G6:G11)</f>
        <v>0.14513497788787533</v>
      </c>
      <c r="H5" s="418">
        <f>SUM(H6:H11)</f>
        <v>2.3422962839907174E-2</v>
      </c>
      <c r="I5" s="433" t="s">
        <v>210</v>
      </c>
      <c r="J5" s="433" t="s">
        <v>210</v>
      </c>
      <c r="K5" s="433" t="s">
        <v>210</v>
      </c>
      <c r="L5" s="433" t="s">
        <v>210</v>
      </c>
      <c r="M5" s="418">
        <f>SUM(M6:M11)</f>
        <v>9.9166673082182466E-3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7.8647089621471886E-5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1.3276393457451897E-4</v>
      </c>
      <c r="E6" s="884">
        <f>vkm_GW_PW*SUMIFS(TableVerdeelsleutelVkm[LPG],TableVerdeelsleutelVkm[Voertuigtype],"Lichte voertuigen")*SUMIFS(TableECFTransport[EnergieConsumptieFactor (PJ per km)],TableECFTransport[Index],CONCATENATE($A6,"_LPG_LPG"))</f>
        <v>1.1633737561817985E-4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3.6341536671700522E-2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1.1842565459385277E-2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2.8788961953245245E-3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1.3121105488013226E-6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5.0079590419265164E-2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6.9612236101161187E-7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2.8867067766724639E-3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6.1110358710498225E-5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1.317226284514142E-4</v>
      </c>
      <c r="E8" s="421">
        <f>vkm_NGW_PW*SUMIFS(TableVerdeelsleutelVkm[LPG],TableVerdeelsleutelVkm[Voertuigtype],"Lichte voertuigen")*SUMIFS(TableECFTransport[EnergieConsumptieFactor (PJ per km)],TableECFTransport[Index],CONCATENATE($A8,"_LPG_LPG"))</f>
        <v>1.1056954098829041E-4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3.1911706349501752E-2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1.1579351463955034E-2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2.606126450844621E-3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5.4623686594821904E-7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2.6802144447407902E-2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3.4979420584942181E-7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1.5449378853766372E-3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39.337721040755454</v>
      </c>
      <c r="C14" s="21"/>
      <c r="D14" s="21">
        <f t="shared" ref="D14:M14" si="0">((D5)*10^9/3600)+D12</f>
        <v>73.468489729425883</v>
      </c>
      <c r="E14" s="21">
        <f t="shared" si="0"/>
        <v>63.02969905735285</v>
      </c>
      <c r="F14" s="21"/>
      <c r="G14" s="21">
        <f t="shared" si="0"/>
        <v>40315.27163552092</v>
      </c>
      <c r="H14" s="21">
        <f t="shared" si="0"/>
        <v>6506.3785666408812</v>
      </c>
      <c r="I14" s="21"/>
      <c r="J14" s="21"/>
      <c r="K14" s="21"/>
      <c r="L14" s="21"/>
      <c r="M14" s="21">
        <f t="shared" si="0"/>
        <v>2754.6298078384016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0.20601075878740413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8.1039937605732639</v>
      </c>
      <c r="C18" s="23"/>
      <c r="D18" s="23">
        <f t="shared" ref="D18:M18" si="1">D14*D16</f>
        <v>14.840634925344029</v>
      </c>
      <c r="E18" s="23">
        <f t="shared" si="1"/>
        <v>14.307741686019098</v>
      </c>
      <c r="F18" s="23"/>
      <c r="G18" s="23">
        <f t="shared" si="1"/>
        <v>10764.177526684087</v>
      </c>
      <c r="H18" s="23">
        <f t="shared" si="1"/>
        <v>1620.0882630935794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1.7830962199769528E-5</v>
      </c>
      <c r="C50" s="315">
        <f t="shared" ref="C50:P50" si="2">SUM(C51:C52)</f>
        <v>0</v>
      </c>
      <c r="D50" s="315">
        <f t="shared" si="2"/>
        <v>0</v>
      </c>
      <c r="E50" s="315">
        <f t="shared" si="2"/>
        <v>0</v>
      </c>
      <c r="F50" s="315">
        <f t="shared" si="2"/>
        <v>0</v>
      </c>
      <c r="G50" s="315">
        <f t="shared" si="2"/>
        <v>1.2918800670716399E-3</v>
      </c>
      <c r="H50" s="315">
        <f t="shared" si="2"/>
        <v>0</v>
      </c>
      <c r="I50" s="315">
        <f t="shared" si="2"/>
        <v>0</v>
      </c>
      <c r="J50" s="315">
        <f t="shared" si="2"/>
        <v>0</v>
      </c>
      <c r="K50" s="315">
        <f t="shared" si="2"/>
        <v>0</v>
      </c>
      <c r="L50" s="315">
        <f t="shared" si="2"/>
        <v>0</v>
      </c>
      <c r="M50" s="315">
        <f t="shared" si="2"/>
        <v>7.3072583813764674E-5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1.7830962199769528E-5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1.2918800670716399E-3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7.3072583813764674E-5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4.9530450554915353</v>
      </c>
      <c r="C54" s="21">
        <f t="shared" ref="C54:P54" si="3">(C50)*10^9/3600</f>
        <v>0</v>
      </c>
      <c r="D54" s="21">
        <f t="shared" si="3"/>
        <v>0</v>
      </c>
      <c r="E54" s="21">
        <f t="shared" si="3"/>
        <v>0</v>
      </c>
      <c r="F54" s="21">
        <f t="shared" si="3"/>
        <v>0</v>
      </c>
      <c r="G54" s="21">
        <f t="shared" si="3"/>
        <v>358.85557418656663</v>
      </c>
      <c r="H54" s="21">
        <f t="shared" si="3"/>
        <v>0</v>
      </c>
      <c r="I54" s="21">
        <f t="shared" si="3"/>
        <v>0</v>
      </c>
      <c r="J54" s="21">
        <f t="shared" si="3"/>
        <v>0</v>
      </c>
      <c r="K54" s="21">
        <f t="shared" si="3"/>
        <v>0</v>
      </c>
      <c r="L54" s="21">
        <f t="shared" si="3"/>
        <v>0</v>
      </c>
      <c r="M54" s="21">
        <f t="shared" si="3"/>
        <v>20.297939948267967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0.20601075878740413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1.0203805701900113</v>
      </c>
      <c r="C58" s="23">
        <f t="shared" ref="C58:P58" ca="1" si="4">C54*C56</f>
        <v>0</v>
      </c>
      <c r="D58" s="23">
        <f t="shared" si="4"/>
        <v>0</v>
      </c>
      <c r="E58" s="23">
        <f t="shared" si="4"/>
        <v>0</v>
      </c>
      <c r="F58" s="23">
        <f t="shared" si="4"/>
        <v>0</v>
      </c>
      <c r="G58" s="23">
        <f t="shared" si="4"/>
        <v>95.81443830781329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16273.708150553528</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9992.0302058700181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2943</v>
      </c>
      <c r="C8" s="543">
        <f>B49</f>
        <v>3462.3529411764707</v>
      </c>
      <c r="D8" s="544"/>
      <c r="E8" s="544">
        <f>E49</f>
        <v>0</v>
      </c>
      <c r="F8" s="545"/>
      <c r="G8" s="546"/>
      <c r="H8" s="544">
        <f>I49</f>
        <v>0</v>
      </c>
      <c r="I8" s="544">
        <f>G49+F49</f>
        <v>0</v>
      </c>
      <c r="J8" s="544">
        <f>H49+D49+C49</f>
        <v>0</v>
      </c>
      <c r="K8" s="544"/>
      <c r="L8" s="544"/>
      <c r="M8" s="544"/>
      <c r="N8" s="547"/>
      <c r="O8" s="548">
        <f>C8*$C$12+D8*$D$12+E8*$E$12+F8*$F$12+G8*$G$12+H8*$H$12+I8*$I$12+J8*$J$12</f>
        <v>699.39529411764715</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29208.738356423546</v>
      </c>
      <c r="C10" s="558">
        <f t="shared" ref="C10:L10" si="0">SUM(C8:C9)</f>
        <v>3462.3529411764707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699.39529411764715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4204.2857142857147</v>
      </c>
      <c r="C17" s="574">
        <f>B50</f>
        <v>4946.2184873949582</v>
      </c>
      <c r="D17" s="575"/>
      <c r="E17" s="575">
        <f>E50</f>
        <v>0</v>
      </c>
      <c r="F17" s="576"/>
      <c r="G17" s="577"/>
      <c r="H17" s="574">
        <f>I50</f>
        <v>0</v>
      </c>
      <c r="I17" s="575">
        <f>G50+F50</f>
        <v>0</v>
      </c>
      <c r="J17" s="575">
        <f>H50+D50+C50</f>
        <v>0</v>
      </c>
      <c r="K17" s="575"/>
      <c r="L17" s="575"/>
      <c r="M17" s="575"/>
      <c r="N17" s="966"/>
      <c r="O17" s="578">
        <f>C17*$C$22+E17*$E$22+H17*$H$22+I17*$I$22+J17*$J$22+D17*$D$22+F17*$F$22+G17*$G$22+K17*$K$22+L17*$L$22</f>
        <v>999.13613445378166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4204.2857142857147</v>
      </c>
      <c r="C20" s="557">
        <f>SUM(C17:C19)</f>
        <v>4946.2184873949582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999.13613445378166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37017</v>
      </c>
      <c r="C28" s="785">
        <v>8710</v>
      </c>
      <c r="D28" s="635" t="s">
        <v>906</v>
      </c>
      <c r="E28" s="634" t="s">
        <v>907</v>
      </c>
      <c r="F28" s="634" t="s">
        <v>908</v>
      </c>
      <c r="G28" s="634" t="s">
        <v>909</v>
      </c>
      <c r="H28" s="634" t="s">
        <v>910</v>
      </c>
      <c r="I28" s="634" t="s">
        <v>907</v>
      </c>
      <c r="J28" s="784">
        <v>40039</v>
      </c>
      <c r="K28" s="784">
        <v>40120</v>
      </c>
      <c r="L28" s="634" t="s">
        <v>911</v>
      </c>
      <c r="M28" s="634">
        <v>254</v>
      </c>
      <c r="N28" s="634">
        <v>1143</v>
      </c>
      <c r="O28" s="634">
        <v>1632.8571428571429</v>
      </c>
      <c r="P28" s="634">
        <v>3265.7142857142858</v>
      </c>
      <c r="Q28" s="634">
        <v>0</v>
      </c>
      <c r="R28" s="634">
        <v>0</v>
      </c>
      <c r="S28" s="634">
        <v>0</v>
      </c>
      <c r="T28" s="634">
        <v>0</v>
      </c>
      <c r="U28" s="634">
        <v>0</v>
      </c>
      <c r="V28" s="634">
        <v>0</v>
      </c>
      <c r="W28" s="634">
        <v>0</v>
      </c>
      <c r="X28" s="634">
        <v>400</v>
      </c>
      <c r="Y28" s="634" t="s">
        <v>36</v>
      </c>
      <c r="Z28" s="636" t="s">
        <v>377</v>
      </c>
    </row>
    <row r="29" spans="1:26" s="588" customFormat="1" ht="25.5">
      <c r="A29" s="587"/>
      <c r="B29" s="785">
        <v>37017</v>
      </c>
      <c r="C29" s="785">
        <v>8710</v>
      </c>
      <c r="D29" s="635" t="s">
        <v>912</v>
      </c>
      <c r="E29" s="634"/>
      <c r="F29" s="634" t="s">
        <v>913</v>
      </c>
      <c r="G29" s="634" t="s">
        <v>914</v>
      </c>
      <c r="H29" s="634" t="s">
        <v>910</v>
      </c>
      <c r="I29" s="634" t="s">
        <v>915</v>
      </c>
      <c r="J29" s="784">
        <v>42472</v>
      </c>
      <c r="K29" s="784">
        <v>42579</v>
      </c>
      <c r="L29" s="634" t="s">
        <v>916</v>
      </c>
      <c r="M29" s="634">
        <v>400</v>
      </c>
      <c r="N29" s="634">
        <v>1800</v>
      </c>
      <c r="O29" s="634">
        <v>2571.4285714285716</v>
      </c>
      <c r="P29" s="634">
        <v>5142.8571428571431</v>
      </c>
      <c r="Q29" s="634">
        <v>0</v>
      </c>
      <c r="R29" s="634">
        <v>0</v>
      </c>
      <c r="S29" s="634">
        <v>0</v>
      </c>
      <c r="T29" s="634">
        <v>0</v>
      </c>
      <c r="U29" s="634">
        <v>0</v>
      </c>
      <c r="V29" s="634">
        <v>0</v>
      </c>
      <c r="W29" s="634">
        <v>0</v>
      </c>
      <c r="X29" s="634">
        <v>400</v>
      </c>
      <c r="Y29" s="634" t="s">
        <v>36</v>
      </c>
      <c r="Z29" s="636" t="s">
        <v>377</v>
      </c>
    </row>
    <row r="30" spans="1:26" s="568" customFormat="1">
      <c r="A30" s="590" t="s">
        <v>274</v>
      </c>
      <c r="B30" s="591"/>
      <c r="C30" s="591"/>
      <c r="D30" s="591"/>
      <c r="E30" s="591"/>
      <c r="F30" s="591"/>
      <c r="G30" s="591"/>
      <c r="H30" s="591"/>
      <c r="I30" s="591"/>
      <c r="J30" s="591"/>
      <c r="K30" s="591"/>
      <c r="L30" s="592"/>
      <c r="M30" s="592">
        <f>SUM(M28:M29)</f>
        <v>654</v>
      </c>
      <c r="N30" s="592">
        <f>SUM(N28:N29)</f>
        <v>2943</v>
      </c>
      <c r="O30" s="592">
        <f>SUM(O28:O29)</f>
        <v>4204.2857142857147</v>
      </c>
      <c r="P30" s="592">
        <f>SUM(P28:P29)</f>
        <v>8408.5714285714294</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654</v>
      </c>
      <c r="N31" s="592">
        <f>SUMIF($Z$28:$Z$29,"industrie",N28:N29)</f>
        <v>2943</v>
      </c>
      <c r="O31" s="592">
        <f>SUMIF($Z$28:$Z$29,"industrie",O28:O29)</f>
        <v>4204.2857142857147</v>
      </c>
      <c r="P31" s="592">
        <f>SUMIF($Z$28:$Z$29,"industrie",P28:P29)</f>
        <v>8408.5714285714294</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3462.3529411764707</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4946.2184873949582</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2021-06-29T15:29:30Z</dcterms:modified>
</cp:coreProperties>
</file>