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B22" i="6" l="1"/>
  <c r="C56" i="22" s="1"/>
  <c r="C58" i="22" s="1"/>
  <c r="D49" i="14" s="1"/>
  <c r="D52" i="14" s="1"/>
  <c r="J90" i="14"/>
  <c r="J17" i="59"/>
  <c r="J20" i="59" s="1"/>
  <c r="Q90" i="14"/>
  <c r="B17" i="6" s="1"/>
  <c r="P17" i="59"/>
  <c r="P20" i="59" s="1"/>
  <c r="C22" i="59"/>
  <c r="G33" i="48"/>
  <c r="Q9" i="48"/>
  <c r="H15" i="48"/>
  <c r="F22" i="16"/>
  <c r="G43" i="14" s="1"/>
  <c r="G46" i="14" s="1"/>
  <c r="G61" i="14" s="1"/>
  <c r="G63" i="14" s="1"/>
  <c r="Q78" i="14" s="1"/>
  <c r="B9" i="6" s="1"/>
  <c r="F8" i="48"/>
  <c r="F15" i="48" s="1"/>
  <c r="O13" i="14"/>
  <c r="O16" i="14" s="1"/>
  <c r="O27" i="14" s="1"/>
  <c r="C29" i="20"/>
  <c r="C16" i="22"/>
  <c r="C20" i="16"/>
  <c r="C22" i="16" s="1"/>
  <c r="D43"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0" i="13"/>
  <c r="C12" i="13" s="1"/>
  <c r="C17" i="49"/>
  <c r="C18" i="15"/>
  <c r="C20" i="15" s="1"/>
  <c r="D40"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<sst xmlns="http://schemas.openxmlformats.org/spreadsheetml/2006/main" count="2493" uniqueCount="913">
  <si>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</si>
  <si>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</si>
  <si>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</si>
  <si>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</si>
  <si>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</si>
  <si>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</si>
  <si>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</si>
  <si>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</si>
  <si>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</si>
  <si>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</si>
  <si>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</si>
  <si>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</si>
  <si>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</si>
  <si>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</si>
  <si>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</si>
  <si>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</si>
  <si>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</si>
  <si>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</si>
  <si>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</si>
  <si>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</si>
  <si>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</si>
  <si>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</si>
  <si>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</si>
  <si>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</si>
  <si>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</si>
  <si>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</si>
  <si>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</si>
  <si>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</si>
  <si>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</si>
  <si>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</si>
  <si>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</si>
  <si>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</si>
  <si>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</si>
  <si>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</si>
  <si>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</si>
  <si>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</si>
  <si>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</si>
  <si>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</si>
  <si>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</si>
  <si>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</si>
  <si>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</si>
  <si>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</si>
  <si>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</si>
  <si>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</si>
  <si>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</si>
  <si>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</si>
  <si>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</si>
  <si>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</si>
  <si>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</si>
  <si>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</si>
  <si>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</si>
  <si>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</si>
  <si>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</si>
  <si>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</si>
  <si>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</si>
  <si>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</si>
  <si>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</si>
  <si>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</si>
  <si>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</si>
  <si>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</si>
  <si>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</si>
  <si>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</si>
  <si>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</si>
  <si>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</si>
  <si>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</si>
  <si>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</si>
  <si>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</si>
  <si>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</si>
  <si>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</si>
  <si>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</si>
  <si>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</si>
  <si>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</si>
  <si>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</si>
  <si>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</si>
  <si>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</si>
  <si>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</si>
  <si>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</si>
  <si>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</si>
  <si>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</si>
  <si>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</si>
  <si>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</si>
  <si>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</si>
  <si>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</si>
  <si>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</si>
  <si>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</si>
  <si>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</si>
  <si>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</si>
  <si>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</si>
  <si>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</si>
  <si>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</si>
  <si>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</si>
  <si>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</si>
  <si>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</si>
  <si>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</si>
  <si>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</si>
  <si>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</si>
  <si>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</si>
  <si>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</si>
  <si>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</si>
  <si>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</si>
  <si>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</si>
  <si>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</si>
  <si>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</si>
  <si>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</si>
  <si>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</si>
  <si>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</si>
  <si>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</si>
  <si>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</si>
  <si>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</si>
  <si>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</si>
  <si>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</si>
  <si>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</si>
  <si>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</si>
  <si>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</si>
  <si>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</si>
  <si>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</si>
  <si>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</si>
  <si>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</si>
  <si>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</si>
  <si>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</si>
  <si>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</si>
  <si>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</si>
  <si>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</si>
  <si>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</si>
  <si>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</si>
  <si>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</si>
  <si>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</si>
  <si>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</si>
  <si>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</si>
  <si>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</si>
  <si>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</si>
  <si>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</si>
  <si>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</si>
  <si>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</si>
  <si>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</si>
  <si>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</si>
  <si>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</si>
  <si>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</si>
  <si>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</si>
  <si>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</si>
  <si>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</si>
  <si>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</si>
  <si>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</si>
  <si>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</si>
  <si>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</si>
  <si>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</si>
  <si>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</si>
  <si>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</si>
  <si>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</si>
  <si>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</si>
  <si>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</si>
  <si>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</si>
  <si>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</si>
  <si>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</si>
  <si>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</si>
  <si>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</si>
  <si>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</si>
  <si>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</si>
  <si>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</si>
  <si>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</si>
  <si>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</si>
  <si>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</si>
  <si>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</si>
  <si>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</si>
  <si>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</si>
  <si>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</si>
  <si>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</si>
  <si>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</si>
  <si>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</si>
  <si>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</si>
  <si>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</si>
  <si>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</si>
  <si>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</si>
  <si>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</si>
  <si>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</si>
  <si>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</si>
  <si>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</si>
  <si>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</si>
  <si>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</si>
  <si>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</si>
  <si>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</si>
  <si>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</si>
  <si>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</si>
  <si>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</si>
  <si>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</si>
  <si>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</si>
  <si>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</si>
  <si>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</si>
  <si>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</si>
  <si>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</si>
  <si>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</si>
  <si>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</si>
  <si>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</si>
  <si>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</si>
  <si>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</si>
  <si>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</si>
  <si>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</si>
  <si>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</si>
  <si>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</si>
  <si>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</si>
  <si>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</si>
  <si>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</si>
  <si>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</si>
  <si>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</si>
  <si>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</si>
  <si>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</si>
  <si>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</si>
  <si>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</si>
  <si>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</si>
  <si>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</si>
  <si>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</si>
  <si>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</si>
  <si>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</si>
  <si>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</si>
  <si>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</si>
  <si>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</si>
  <si>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</si>
  <si>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</si>
  <si>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</si>
  <si>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</si>
  <si>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</si>
  <si>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</si>
  <si>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</si>
  <si>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</si>
  <si>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</si>
  <si>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</si>
  <si>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</si>
  <si>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</si>
  <si>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</si>
  <si>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</si>
  <si>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</si>
  <si>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</si>
  <si>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</si>
  <si>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</si>
  <si>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</si>
  <si>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</si>
  <si>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</si>
  <si>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</si>
  <si>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</si>
  <si>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</si>
  <si>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</si>
  <si>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</si>
  <si>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</si>
  <si>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</si>
  <si>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</si>
  <si>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</si>
  <si>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</si>
  <si>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</si>
  <si>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</si>
  <si>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</si>
  <si>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</si>
  <si>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</si>
  <si>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</si>
  <si>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</si>
  <si>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</si>
  <si>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</si>
  <si>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</si>
  <si>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</si>
  <si>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</si>
  <si>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</si>
  <si>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</si>
  <si>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</si>
  <si>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</si>
  <si>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</si>
  <si>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</si>
  <si>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</si>
  <si>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</si>
  <si>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</si>
  <si>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</si>
  <si>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</si>
  <si>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</si>
  <si>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</si>
  <si>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</si>
  <si>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</si>
  <si>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</si>
  <si>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</si>
  <si>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</si>
  <si>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</si>
  <si>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</si>
  <si>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</si>
  <si>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</si>
  <si>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</si>
  <si>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</si>
  <si>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</si>
  <si>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</si>
  <si>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</si>
  <si>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</si>
  <si>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</si>
  <si>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</si>
  <si>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</si>
  <si>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</si>
  <si>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</si>
  <si>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</si>
  <si>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</si>
  <si>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</si>
  <si>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</si>
  <si>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</si>
  <si>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</si>
  <si>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</si>
  <si>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</si>
  <si>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</si>
  <si>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</si>
  <si>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</si>
  <si>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</si>
  <si>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</si>
  <si>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</si>
  <si>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</si>
  <si>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</si>
  <si>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</si>
  <si>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</si>
  <si>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</si>
  <si>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</si>
  <si>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</si>
  <si>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</si>
  <si>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</si>
  <si>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</si>
  <si>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</si>
  <si>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</si>
  <si>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</si>
  <si>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</si>
  <si>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</si>
  <si>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</si>
  <si>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</si>
  <si>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</si>
  <si>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</si>
  <si>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</si>
  <si>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</si>
  <si>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</si>
  <si>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</si>
  <si>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</si>
  <si>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</si>
  <si>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</si>
  <si>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</si>
  <si>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</si>
  <si>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</si>
  <si>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</si>
  <si>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</si>
  <si>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</si>
  <si>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</si>
  <si>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</si>
  <si>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</si>
  <si>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</si>
  <si>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</si>
  <si>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</si>
  <si>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</si>
  <si>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</si>
  <si>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</si>
  <si>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</si>
  <si>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</si>
  <si>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</si>
  <si>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</si>
  <si>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</si>
  <si>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</si>
  <si>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</si>
  <si>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</si>
  <si>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</si>
  <si>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</si>
  <si>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</si>
  <si>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</si>
  <si>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</si>
  <si>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</si>
  <si>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</si>
  <si>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</si>
  <si>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</si>
  <si>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</si>
  <si>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</si>
  <si>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</si>
  <si>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</si>
  <si>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</si>
  <si>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</si>
  <si>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</si>
  <si>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</si>
  <si>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</si>
  <si>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</si>
  <si>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</si>
  <si>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</si>
  <si>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</si>
  <si>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</si>
  <si>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</si>
  <si>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</si>
  <si>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</si>
  <si>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</si>
  <si>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</si>
  <si>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</si>
  <si>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</si>
  <si>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</si>
  <si>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</si>
  <si>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</si>
  <si>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</si>
  <si>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</si>
  <si>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</si>
  <si>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</si>
  <si>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</si>
  <si>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</si>
  <si>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</si>
  <si>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</si>
  <si>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</si>
  <si>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</si>
  <si>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</si>
  <si>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</si>
  <si>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</si>
  <si>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</si>
  <si>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</si>
  <si>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</si>
  <si>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</si>
  <si>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</si>
  <si>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</si>
  <si>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</si>
  <si>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</si>
  <si>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</si>
  <si>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</si>
  <si>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</si>
  <si>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</si>
  <si>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</si>
  <si>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</si>
  <si>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</si>
  <si>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</si>
  <si>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</si>
  <si>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</si>
  <si>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</si>
  <si>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</si>
  <si>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</si>
  <si>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</si>
  <si>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</si>
  <si>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</si>
  <si>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</si>
  <si>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</si>
  <si>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</si>
  <si>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</si>
  <si>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</si>
  <si>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</si>
  <si>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</si>
  <si>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</si>
  <si>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</si>
  <si>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</si>
  <si>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</si>
  <si>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</si>
  <si>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</si>
  <si>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</si>
  <si>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</si>
  <si>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</si>
  <si>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</si>
  <si>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</si>
  <si>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</si>
  <si>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</si>
  <si>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</si>
  <si>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</si>
  <si>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</si>
  <si>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</si>
  <si>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</si>
  <si>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</si>
  <si>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</si>
  <si>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</si>
  <si>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</si>
  <si>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</si>
  <si>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</si>
  <si>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</si>
  <si>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</si>
  <si>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</si>
  <si>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</si>
  <si>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</si>
  <si>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</si>
  <si>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</si>
  <si>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</si>
  <si>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</si>
  <si>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</si>
  <si>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</si>
  <si>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</si>
  <si>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</si>
  <si>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</si>
  <si>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</si>
  <si>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</si>
  <si>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</si>
  <si>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</si>
  <si>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</si>
  <si>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</si>
  <si>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</si>
  <si>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</si>
  <si>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</si>
  <si>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</si>
  <si>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</si>
  <si>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</si>
  <si>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</si>
  <si>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</si>
  <si>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</si>
  <si>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</si>
  <si>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</si>
  <si>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</si>
  <si>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</si>
  <si>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</si>
  <si>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</si>
  <si>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</si>
  <si>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</si>
  <si>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</si>
  <si>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</si>
  <si>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</si>
  <si>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</si>
  <si>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</si>
  <si>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</si>
  <si>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</si>
  <si>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</si>
  <si>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</si>
  <si>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</si>
  <si>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</si>
  <si>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</si>
  <si>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</si>
  <si>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</si>
  <si>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</si>
  <si>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</si>
  <si>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</si>
  <si>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</si>
  <si>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</si>
  <si>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</si>
  <si>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</si>
  <si>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</si>
  <si>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</si>
  <si>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</si>
  <si>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</si>
  <si>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</si>
  <si>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</si>
  <si>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</si>
  <si>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</si>
  <si>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</si>
  <si>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</si>
  <si>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</si>
  <si>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</si>
  <si>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</si>
  <si>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</si>
  <si>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</si>
  <si>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</si>
  <si>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</si>
  <si>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</si>
  <si>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</si>
  <si>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</si>
  <si>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</si>
  <si>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</si>
  <si>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</si>
  <si>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</si>
  <si>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</si>
  <si>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</si>
  <si>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</si>
  <si>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</si>
  <si>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</si>
  <si>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</si>
  <si>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</si>
  <si>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</si>
  <si>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</si>
  <si>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</si>
  <si>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</si>
  <si>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</si>
  <si>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</si>
  <si>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</si>
  <si>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</si>
  <si>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</si>
  <si>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</si>
  <si>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</si>
  <si>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</si>
  <si>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</si>
  <si>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</si>
  <si>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</si>
  <si>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</si>
  <si>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</si>
  <si>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</si>
  <si>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</si>
  <si>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</si>
  <si>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</si>
  <si>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</si>
  <si>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</si>
  <si>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</si>
  <si>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</si>
  <si>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</si>
  <si>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</si>
  <si>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</si>
  <si>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</si>
  <si>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</si>
  <si>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</si>
  <si>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</si>
  <si>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</si>
  <si>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</si>
  <si>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</si>
  <si>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</si>
  <si>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</si>
  <si>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</si>
  <si>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</si>
  <si>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</si>
  <si>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</si>
  <si>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</si>
  <si>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</si>
  <si>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</si>
  <si>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</si>
  <si>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</si>
  <si>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</si>
  <si>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</si>
  <si>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</si>
  <si>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</si>
  <si>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</si>
  <si>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</si>
  <si>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</si>
  <si>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</si>
  <si>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</si>
  <si>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</si>
  <si>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</si>
  <si>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</si>
  <si>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</si>
  <si>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</si>
  <si>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</si>
  <si>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</si>
  <si>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</si>
  <si>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</si>
  <si>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</si>
  <si>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</si>
  <si>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</si>
  <si>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</si>
  <si>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</si>
  <si>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</si>
  <si>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</si>
  <si>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</si>
  <si>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</si>
  <si>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</si>
  <si>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</si>
  <si>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</si>
  <si>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</si>
  <si>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</si>
  <si>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</si>
  <si>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</si>
  <si>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</si>
  <si>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</si>
  <si>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</si>
  <si>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</si>
  <si>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</si>
  <si>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</si>
  <si>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</si>
  <si>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</si>
  <si>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</si>
  <si>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</si>
  <si>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</si>
  <si>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</si>
  <si>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</si>
  <si>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</si>
  <si>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</si>
  <si>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</si>
  <si>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</si>
  <si>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</si>
  <si>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</si>
  <si>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</si>
  <si>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</si>
  <si>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</si>
  <si>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</si>
  <si>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</si>
  <si>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</si>
  <si>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</si>
  <si>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</si>
  <si>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</si>
  <si>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</si>
  <si>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</si>
  <si>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</si>
  <si>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</si>
  <si>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</si>
  <si>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</si>
  <si>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</si>
  <si>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</si>
  <si>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</si>
  <si>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</si>
  <si>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</si>
  <si>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</si>
  <si>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</si>
  <si>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</si>
  <si>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</si>
  <si>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</si>
  <si>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</si>
  <si>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</si>
  <si>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</si>
  <si>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</si>
  <si>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</si>
  <si>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</si>
  <si>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</si>
  <si>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</si>
  <si>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</si>
  <si>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</si>
  <si>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</si>
  <si>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</si>
  <si>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</si>
  <si>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</si>
  <si>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</si>
  <si>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</si>
  <si>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</si>
  <si>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</si>
  <si>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</si>
  <si>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</si>
  <si>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</si>
  <si>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</si>
  <si>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</si>
  <si>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</si>
  <si>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</si>
  <si>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</si>
  <si>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</si>
  <si>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</si>
  <si>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</si>
  <si>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</si>
  <si>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</si>
  <si>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</si>
  <si>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</si>
  <si>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</si>
  <si>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</si>
  <si>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</si>
  <si>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</si>
  <si>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</si>
  <si>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</si>
  <si>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</si>
  <si>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</si>
  <si>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</si>
  <si>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</si>
  <si>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</si>
  <si>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</si>
  <si>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</si>
  <si>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</si>
  <si>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</si>
  <si>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</si>
  <si>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</si>
  <si>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</si>
  <si>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</si>
  <si>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</si>
  <si>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</si>
  <si>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</si>
  <si>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</si>
  <si>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</si>
  <si>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</si>
  <si>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</si>
  <si>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</si>
  <si>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</si>
  <si>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</si>
  <si>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</si>
  <si>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</si>
  <si>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</si>
  <si>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</si>
  <si>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</si>
  <si>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</si>
  <si>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</si>
  <si>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</si>
  <si>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</si>
  <si>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</si>
  <si>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</si>
  <si>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</si>
  <si>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</si>
  <si>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</si>
  <si>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</si>
  <si>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</si>
  <si>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</si>
  <si>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</si>
  <si>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</si>
  <si>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</si>
  <si>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</si>
  <si>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</si>
  <si>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</si>
  <si>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</si>
  <si>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</si>
  <si>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</si>
  <si>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</si>
  <si>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</si>
  <si>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</si>
  <si>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</si>
  <si>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</si>
  <si>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</si>
  <si>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</si>
  <si>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</si>
  <si>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</si>
  <si>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</si>
  <si>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</si>
  <si>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</si>
  <si>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</si>
  <si>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</si>
  <si>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</si>
  <si>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</si>
  <si>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</si>
  <si>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</si>
  <si>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</si>
  <si>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</si>
  <si>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</si>
  <si>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</si>
  <si>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</si>
  <si>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</si>
  <si>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</si>
  <si>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</si>
  <si>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</si>
  <si>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</si>
  <si>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</si>
  <si>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</si>
  <si>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</si>
  <si>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</si>
  <si>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</si>
  <si>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</si>
  <si>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</si>
  <si>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</si>
  <si>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</si>
  <si>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</si>
  <si>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</si>
  <si>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</si>
  <si>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</si>
  <si>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</si>
  <si>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</si>
  <si>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</si>
  <si>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</si>
  <si>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</si>
  <si>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</si>
  <si>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</si>
  <si>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</si>
  <si>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</si>
  <si>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</si>
  <si>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</si>
  <si>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</si>
  <si>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</si>
  <si>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</si>
  <si>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</si>
  <si>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</si>
  <si>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</si>
  <si>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</si>
  <si>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</si>
  <si>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</si>
  <si>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</si>
  <si>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</si>
  <si>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</si>
  <si>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</si>
  <si>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</si>
  <si>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</si>
  <si>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</si>
  <si>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</si>
  <si>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</si>
  <si>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</si>
  <si>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</si>
  <si>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</si>
  <si>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</si>
  <si>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</si>
  <si>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</si>
  <si>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</si>
  <si>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</si>
  <si>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</si>
  <si>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</si>
  <si>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</si>
  <si>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</si>
  <si>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</si>
  <si>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</si>
  <si>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</si>
  <si>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</si>
  <si>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</si>
  <si>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</si>
  <si>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</si>
  <si>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</si>
  <si>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</si>
  <si>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</si>
  <si>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</si>
  <si>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</si>
  <si>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</si>
  <si>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</si>
  <si>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</si>
  <si>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</si>
  <si>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</si>
  <si>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</si>
  <si>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</si>
  <si>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</si>
  <si>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</si>
  <si>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</si>
  <si>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</si>
  <si>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</si>
  <si>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</si>
  <si>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</si>
  <si>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</si>
  <si>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</si>
  <si>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</si>
  <si>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</si>
  <si>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</si>
  <si>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</si>
  <si>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</si>
  <si>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</si>
  <si>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</si>
  <si>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</si>
  <si>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</si>
  <si>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</si>
  <si>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</si>
  <si>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</si>
  <si>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</si>
  <si>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</si>
  <si>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</si>
  <si>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</si>
  <si>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</si>
  <si>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</si>
  <si>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</si>
  <si>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</si>
  <si>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</si>
  <si>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</si>
  <si>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</si>
  <si>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</si>
  <si>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</si>
  <si>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</si>
  <si>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</si>
  <si>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</si>
  <si>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</si>
  <si>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</si>
  <si>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</si>
  <si>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</si>
  <si>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</si>
  <si>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</si>
  <si>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</si>
  <si>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</si>
  <si>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37002</t>
  </si>
  <si>
    <t>DENTERGEM</t>
  </si>
  <si>
    <t>referentietaak LNE (2017); Jaarverslag De Lijn</t>
  </si>
  <si>
    <t>Walcarius bvba in faling</t>
  </si>
  <si>
    <t>Vaerestraat 4, 8720 Oeselgem</t>
  </si>
  <si>
    <t>WKK-0172 Walcarius (nieuw)</t>
  </si>
  <si>
    <t>interne verbrandingsmotor</t>
  </si>
  <si>
    <t>WKK interne verbrandinsgmotor (gas)</t>
  </si>
  <si>
    <t>Vaerestraat 4 , 8720 Oeselgem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</si>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</sst>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67584.213501187565</c:v>
                </c:pt>
                <c:pt idx="1">
                  <c:v>18797.163067430305</c:v>
                </c:pt>
                <c:pt idx="2">
                  <c:v>620.62400000000002</c:v>
                </c:pt>
                <c:pt idx="3">
                  <c:v>19901.154965682457</c:v>
                </c:pt>
                <c:pt idx="4">
                  <c:v>19288.040167900617</c:v>
                </c:pt>
                <c:pt idx="5">
                  <c:v>36756.424666052168</c:v>
                </c:pt>
                <c:pt idx="6">
                  <c:v>146.28477501965952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67584.213501187565</c:v>
                </c:pt>
                <c:pt idx="1">
                  <c:v>18797.163067430305</c:v>
                </c:pt>
                <c:pt idx="2">
                  <c:v>620.62400000000002</c:v>
                </c:pt>
                <c:pt idx="3">
                  <c:v>19901.154965682457</c:v>
                </c:pt>
                <c:pt idx="4">
                  <c:v>19288.040167900617</c:v>
                </c:pt>
                <c:pt idx="5">
                  <c:v>36756.424666052168</c:v>
                </c:pt>
                <c:pt idx="6">
                  <c:v>146.28477501965952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14230.032232488624</c:v>
                </c:pt>
                <c:pt idx="1">
                  <c:v>3696.2600458832844</c:v>
                </c:pt>
                <c:pt idx="2">
                  <c:v>126.63160812901523</c:v>
                </c:pt>
                <c:pt idx="3">
                  <c:v>5012.1064544378432</c:v>
                </c:pt>
                <c:pt idx="4">
                  <c:v>4047.2005990104285</c:v>
                </c:pt>
                <c:pt idx="5">
                  <c:v>9163.0924096416311</c:v>
                </c:pt>
                <c:pt idx="6">
                  <c:v>36.875265034500558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14230.032232488624</c:v>
                </c:pt>
                <c:pt idx="1">
                  <c:v>3696.2600458832844</c:v>
                </c:pt>
                <c:pt idx="2">
                  <c:v>126.63160812901523</c:v>
                </c:pt>
                <c:pt idx="3">
                  <c:v>5012.1064544378432</c:v>
                </c:pt>
                <c:pt idx="4">
                  <c:v>4047.2005990104285</c:v>
                </c:pt>
                <c:pt idx="5">
                  <c:v>9163.0924096416311</c:v>
                </c:pt>
                <c:pt idx="6">
                  <c:v>36.875265034500558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37002</v>
      </c>
      <c r="B6" s="386"/>
      <c r="C6" s="387"/>
    </row>
    <row r="7" spans="1:7" s="384" customFormat="1" ht="15.75" customHeight="1">
      <c r="A7" s="388" t="str">
        <f>txtMunicipality</f>
        <v>DENTERGEM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7931.0591449999993</v>
      </c>
      <c r="D10" s="681">
        <f ca="1">tertiair!C16</f>
        <v>0</v>
      </c>
      <c r="E10" s="681">
        <f ca="1">tertiair!D16</f>
        <v>9683.185621296001</v>
      </c>
      <c r="F10" s="681">
        <f>tertiair!E16</f>
        <v>97.500304135831016</v>
      </c>
      <c r="G10" s="681">
        <f ca="1">tertiair!F16</f>
        <v>848.31907046712865</v>
      </c>
      <c r="H10" s="681">
        <f>tertiair!G16</f>
        <v>0</v>
      </c>
      <c r="I10" s="681">
        <f>tertiair!H16</f>
        <v>0</v>
      </c>
      <c r="J10" s="681">
        <f>tertiair!I16</f>
        <v>0</v>
      </c>
      <c r="K10" s="681">
        <f>tertiair!J16</f>
        <v>2.1591144374437685E-2</v>
      </c>
      <c r="L10" s="681">
        <f>tertiair!K16</f>
        <v>0</v>
      </c>
      <c r="M10" s="681">
        <f ca="1">tertiair!L16</f>
        <v>0</v>
      </c>
      <c r="N10" s="681">
        <f>tertiair!M16</f>
        <v>0</v>
      </c>
      <c r="O10" s="681">
        <f ca="1">tertiair!N16</f>
        <v>847.90681385528637</v>
      </c>
      <c r="P10" s="681">
        <f>tertiair!O16</f>
        <v>9.7945215316823084</v>
      </c>
      <c r="Q10" s="682">
        <f>tertiair!P16</f>
        <v>0</v>
      </c>
      <c r="R10" s="684">
        <f ca="1">SUM(C10:Q10)</f>
        <v>19417.787067430305</v>
      </c>
      <c r="S10" s="67"/>
    </row>
    <row r="11" spans="1:19" s="444" customFormat="1">
      <c r="A11" s="802" t="s">
        <v>219</v>
      </c>
      <c r="B11" s="807"/>
      <c r="C11" s="681">
        <f>huishoudens!B8</f>
        <v>13993.856869425788</v>
      </c>
      <c r="D11" s="681">
        <f>huishoudens!C8</f>
        <v>0</v>
      </c>
      <c r="E11" s="681">
        <f>huishoudens!D8</f>
        <v>21298.610354119999</v>
      </c>
      <c r="F11" s="681">
        <f>huishoudens!E8</f>
        <v>1552.9458301044499</v>
      </c>
      <c r="G11" s="681">
        <f>huishoudens!F8</f>
        <v>25035.556557323544</v>
      </c>
      <c r="H11" s="681">
        <f>huishoudens!G8</f>
        <v>0</v>
      </c>
      <c r="I11" s="681">
        <f>huishoudens!H8</f>
        <v>0</v>
      </c>
      <c r="J11" s="681">
        <f>huishoudens!I8</f>
        <v>0</v>
      </c>
      <c r="K11" s="681">
        <f>huishoudens!J8</f>
        <v>100.01594467495752</v>
      </c>
      <c r="L11" s="681">
        <f>huishoudens!K8</f>
        <v>0</v>
      </c>
      <c r="M11" s="681">
        <f>huishoudens!L8</f>
        <v>0</v>
      </c>
      <c r="N11" s="681">
        <f>huishoudens!M8</f>
        <v>0</v>
      </c>
      <c r="O11" s="681">
        <f>huishoudens!N8</f>
        <v>4853.2881306110739</v>
      </c>
      <c r="P11" s="681">
        <f>huishoudens!O8</f>
        <v>307.51352400498996</v>
      </c>
      <c r="Q11" s="682">
        <f>huishoudens!P8</f>
        <v>442.42629092277093</v>
      </c>
      <c r="R11" s="684">
        <f>SUM(C11:Q11)</f>
        <v>67584.213501187565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13104.165039</v>
      </c>
      <c r="D13" s="681">
        <f>industrie!C18</f>
        <v>0</v>
      </c>
      <c r="E13" s="681">
        <f>industrie!D18</f>
        <v>1490.664445974</v>
      </c>
      <c r="F13" s="681">
        <f>industrie!E18</f>
        <v>910.05656344259</v>
      </c>
      <c r="G13" s="681">
        <f>industrie!F18</f>
        <v>3131.3713385749911</v>
      </c>
      <c r="H13" s="681">
        <f>industrie!G18</f>
        <v>0</v>
      </c>
      <c r="I13" s="681">
        <f>industrie!H18</f>
        <v>0</v>
      </c>
      <c r="J13" s="681">
        <f>industrie!I18</f>
        <v>0</v>
      </c>
      <c r="K13" s="681">
        <f>industrie!J18</f>
        <v>83.797704052596728</v>
      </c>
      <c r="L13" s="681">
        <f>industrie!K18</f>
        <v>0</v>
      </c>
      <c r="M13" s="681">
        <f>industrie!L18</f>
        <v>0</v>
      </c>
      <c r="N13" s="681">
        <f>industrie!M18</f>
        <v>0</v>
      </c>
      <c r="O13" s="681">
        <f>industrie!N18</f>
        <v>567.98507685643995</v>
      </c>
      <c r="P13" s="681">
        <f>industrie!O18</f>
        <v>0</v>
      </c>
      <c r="Q13" s="682">
        <f>industrie!P18</f>
        <v>0</v>
      </c>
      <c r="R13" s="684">
        <f>SUM(C13:Q13)</f>
        <v>19288.040167900617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35029.081053425791</v>
      </c>
      <c r="D16" s="717">
        <f t="shared" ref="D16:R16" ca="1" si="0">SUM(D9:D15)</f>
        <v>0</v>
      </c>
      <c r="E16" s="717">
        <f t="shared" ca="1" si="0"/>
        <v>32472.460421390002</v>
      </c>
      <c r="F16" s="717">
        <f t="shared" si="0"/>
        <v>2560.5026976828713</v>
      </c>
      <c r="G16" s="717">
        <f t="shared" ca="1" si="0"/>
        <v>29015.246966365663</v>
      </c>
      <c r="H16" s="717">
        <f t="shared" si="0"/>
        <v>0</v>
      </c>
      <c r="I16" s="717">
        <f t="shared" si="0"/>
        <v>0</v>
      </c>
      <c r="J16" s="717">
        <f t="shared" si="0"/>
        <v>0</v>
      </c>
      <c r="K16" s="717">
        <f t="shared" si="0"/>
        <v>183.83523987192871</v>
      </c>
      <c r="L16" s="717">
        <f t="shared" si="0"/>
        <v>0</v>
      </c>
      <c r="M16" s="717">
        <f t="shared" ca="1" si="0"/>
        <v>0</v>
      </c>
      <c r="N16" s="717">
        <f t="shared" si="0"/>
        <v>0</v>
      </c>
      <c r="O16" s="717">
        <f t="shared" ca="1" si="0"/>
        <v>6269.1800213228007</v>
      </c>
      <c r="P16" s="717">
        <f t="shared" si="0"/>
        <v>317.3080455366723</v>
      </c>
      <c r="Q16" s="717">
        <f t="shared" si="0"/>
        <v>442.42629092277093</v>
      </c>
      <c r="R16" s="717">
        <f t="shared" ca="1" si="0"/>
        <v>106290.04073651848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1.88633873665718</v>
      </c>
      <c r="D19" s="681">
        <f>transport!C54</f>
        <v>0</v>
      </c>
      <c r="E19" s="681">
        <f>transport!D54</f>
        <v>0</v>
      </c>
      <c r="F19" s="681">
        <f>transport!E54</f>
        <v>0</v>
      </c>
      <c r="G19" s="681">
        <f>transport!F54</f>
        <v>0</v>
      </c>
      <c r="H19" s="681">
        <f>transport!G54</f>
        <v>136.66808253701578</v>
      </c>
      <c r="I19" s="681">
        <f>transport!H54</f>
        <v>0</v>
      </c>
      <c r="J19" s="681">
        <f>transport!I54</f>
        <v>0</v>
      </c>
      <c r="K19" s="681">
        <f>transport!J54</f>
        <v>0</v>
      </c>
      <c r="L19" s="681">
        <f>transport!K54</f>
        <v>0</v>
      </c>
      <c r="M19" s="681">
        <f>transport!L54</f>
        <v>0</v>
      </c>
      <c r="N19" s="681">
        <f>transport!M54</f>
        <v>7.7303537459865401</v>
      </c>
      <c r="O19" s="681">
        <f>transport!N54</f>
        <v>0</v>
      </c>
      <c r="P19" s="681">
        <f>transport!O54</f>
        <v>0</v>
      </c>
      <c r="Q19" s="682">
        <f>transport!P54</f>
        <v>0</v>
      </c>
      <c r="R19" s="684">
        <f>SUM(C19:Q19)</f>
        <v>146.28477501965952</v>
      </c>
      <c r="S19" s="67"/>
    </row>
    <row r="20" spans="1:19" s="444" customFormat="1">
      <c r="A20" s="802" t="s">
        <v>301</v>
      </c>
      <c r="B20" s="807"/>
      <c r="C20" s="681">
        <f>transport!B14</f>
        <v>33.45781216435428</v>
      </c>
      <c r="D20" s="681">
        <f>transport!C14</f>
        <v>0</v>
      </c>
      <c r="E20" s="681">
        <f>transport!D14</f>
        <v>61.496777840278511</v>
      </c>
      <c r="F20" s="681">
        <f>transport!E14</f>
        <v>52.942432571582209</v>
      </c>
      <c r="G20" s="681">
        <f>transport!F14</f>
        <v>0</v>
      </c>
      <c r="H20" s="681">
        <f>transport!G14</f>
        <v>29116.646494406188</v>
      </c>
      <c r="I20" s="681">
        <f>transport!H14</f>
        <v>5452.5333733749931</v>
      </c>
      <c r="J20" s="681">
        <f>transport!I14</f>
        <v>0</v>
      </c>
      <c r="K20" s="681">
        <f>transport!J14</f>
        <v>0</v>
      </c>
      <c r="L20" s="681">
        <f>transport!K14</f>
        <v>0</v>
      </c>
      <c r="M20" s="681">
        <f>transport!L14</f>
        <v>0</v>
      </c>
      <c r="N20" s="681">
        <f>transport!M14</f>
        <v>2039.347775694773</v>
      </c>
      <c r="O20" s="681">
        <f>transport!N14</f>
        <v>0</v>
      </c>
      <c r="P20" s="681">
        <f>transport!O14</f>
        <v>0</v>
      </c>
      <c r="Q20" s="682">
        <f>transport!P14</f>
        <v>0</v>
      </c>
      <c r="R20" s="684">
        <f>SUM(C20:Q20)</f>
        <v>36756.424666052168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35.34415090101146</v>
      </c>
      <c r="D22" s="805">
        <f t="shared" ref="D22:R22" si="1">SUM(D18:D21)</f>
        <v>0</v>
      </c>
      <c r="E22" s="805">
        <f t="shared" si="1"/>
        <v>61.496777840278511</v>
      </c>
      <c r="F22" s="805">
        <f t="shared" si="1"/>
        <v>52.942432571582209</v>
      </c>
      <c r="G22" s="805">
        <f t="shared" si="1"/>
        <v>0</v>
      </c>
      <c r="H22" s="805">
        <f t="shared" si="1"/>
        <v>29253.314576943205</v>
      </c>
      <c r="I22" s="805">
        <f t="shared" si="1"/>
        <v>5452.5333733749931</v>
      </c>
      <c r="J22" s="805">
        <f t="shared" si="1"/>
        <v>0</v>
      </c>
      <c r="K22" s="805">
        <f t="shared" si="1"/>
        <v>0</v>
      </c>
      <c r="L22" s="805">
        <f t="shared" si="1"/>
        <v>0</v>
      </c>
      <c r="M22" s="805">
        <f t="shared" si="1"/>
        <v>0</v>
      </c>
      <c r="N22" s="805">
        <f t="shared" si="1"/>
        <v>2047.0781294407595</v>
      </c>
      <c r="O22" s="805">
        <f t="shared" si="1"/>
        <v>0</v>
      </c>
      <c r="P22" s="805">
        <f t="shared" si="1"/>
        <v>0</v>
      </c>
      <c r="Q22" s="805">
        <f t="shared" si="1"/>
        <v>0</v>
      </c>
      <c r="R22" s="805">
        <f t="shared" si="1"/>
        <v>36902.709441071827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2775.1479340000001</v>
      </c>
      <c r="D24" s="681">
        <f>+landbouw!C8</f>
        <v>6467.1428571428569</v>
      </c>
      <c r="E24" s="681">
        <f>+landbouw!D8</f>
        <v>0</v>
      </c>
      <c r="F24" s="681">
        <f>+landbouw!E8</f>
        <v>86.611451889249111</v>
      </c>
      <c r="G24" s="681">
        <f>+landbouw!F8</f>
        <v>9807.6802213510946</v>
      </c>
      <c r="H24" s="681">
        <f>+landbouw!G8</f>
        <v>0</v>
      </c>
      <c r="I24" s="681">
        <f>+landbouw!H8</f>
        <v>0</v>
      </c>
      <c r="J24" s="681">
        <f>+landbouw!I8</f>
        <v>0</v>
      </c>
      <c r="K24" s="681">
        <f>+landbouw!J8</f>
        <v>764.57250129925592</v>
      </c>
      <c r="L24" s="681">
        <f>+landbouw!K8</f>
        <v>0</v>
      </c>
      <c r="M24" s="681">
        <f>+landbouw!L8</f>
        <v>0</v>
      </c>
      <c r="N24" s="681">
        <f>+landbouw!M8</f>
        <v>0</v>
      </c>
      <c r="O24" s="681">
        <f>+landbouw!N8</f>
        <v>0</v>
      </c>
      <c r="P24" s="681">
        <f>+landbouw!O8</f>
        <v>0</v>
      </c>
      <c r="Q24" s="682">
        <f>+landbouw!P8</f>
        <v>0</v>
      </c>
      <c r="R24" s="684">
        <f>SUM(C24:Q24)</f>
        <v>19901.154965682457</v>
      </c>
      <c r="S24" s="67"/>
    </row>
    <row r="25" spans="1:19" s="444" customFormat="1" ht="15" thickBot="1">
      <c r="A25" s="824" t="s">
        <v>714</v>
      </c>
      <c r="B25" s="943"/>
      <c r="C25" s="944">
        <f>IF(Onbekend_ele_kWh="---",0,Onbekend_ele_kWh)/1000+IF(REST_rest_ele_kWh="---",0,REST_rest_ele_kWh)/1000</f>
        <v>313.53042800000003</v>
      </c>
      <c r="D25" s="944"/>
      <c r="E25" s="944">
        <f>IF(onbekend_gas_kWh="---",0,onbekend_gas_kWh)/1000+IF(REST_rest_gas_kWh="---",0,REST_rest_gas_kWh)/1000</f>
        <v>560.17868799999997</v>
      </c>
      <c r="F25" s="944"/>
      <c r="G25" s="944"/>
      <c r="H25" s="944"/>
      <c r="I25" s="944"/>
      <c r="J25" s="944"/>
      <c r="K25" s="944"/>
      <c r="L25" s="944"/>
      <c r="M25" s="944"/>
      <c r="N25" s="944"/>
      <c r="O25" s="944"/>
      <c r="P25" s="944"/>
      <c r="Q25" s="945"/>
      <c r="R25" s="684">
        <f>SUM(C25:Q25)</f>
        <v>873.70911599999999</v>
      </c>
      <c r="S25" s="67"/>
    </row>
    <row r="26" spans="1:19" s="444" customFormat="1" ht="15.75" thickBot="1">
      <c r="A26" s="689" t="s">
        <v>715</v>
      </c>
      <c r="B26" s="810"/>
      <c r="C26" s="805">
        <f>SUM(C24:C25)</f>
        <v>3088.6783620000001</v>
      </c>
      <c r="D26" s="805">
        <f t="shared" ref="D26:R26" si="2">SUM(D24:D25)</f>
        <v>6467.1428571428569</v>
      </c>
      <c r="E26" s="805">
        <f t="shared" si="2"/>
        <v>560.17868799999997</v>
      </c>
      <c r="F26" s="805">
        <f t="shared" si="2"/>
        <v>86.611451889249111</v>
      </c>
      <c r="G26" s="805">
        <f t="shared" si="2"/>
        <v>9807.6802213510946</v>
      </c>
      <c r="H26" s="805">
        <f t="shared" si="2"/>
        <v>0</v>
      </c>
      <c r="I26" s="805">
        <f t="shared" si="2"/>
        <v>0</v>
      </c>
      <c r="J26" s="805">
        <f t="shared" si="2"/>
        <v>0</v>
      </c>
      <c r="K26" s="805">
        <f t="shared" si="2"/>
        <v>764.57250129925592</v>
      </c>
      <c r="L26" s="805">
        <f t="shared" si="2"/>
        <v>0</v>
      </c>
      <c r="M26" s="805">
        <f t="shared" si="2"/>
        <v>0</v>
      </c>
      <c r="N26" s="805">
        <f t="shared" si="2"/>
        <v>0</v>
      </c>
      <c r="O26" s="805">
        <f t="shared" si="2"/>
        <v>0</v>
      </c>
      <c r="P26" s="805">
        <f t="shared" si="2"/>
        <v>0</v>
      </c>
      <c r="Q26" s="805">
        <f t="shared" si="2"/>
        <v>0</v>
      </c>
      <c r="R26" s="805">
        <f t="shared" si="2"/>
        <v>20774.864081682455</v>
      </c>
      <c r="S26" s="67"/>
    </row>
    <row r="27" spans="1:19" s="444" customFormat="1" ht="17.25" thickTop="1" thickBot="1">
      <c r="A27" s="690" t="s">
        <v>115</v>
      </c>
      <c r="B27" s="797"/>
      <c r="C27" s="691">
        <f ca="1">C22+C16+C26</f>
        <v>38153.103566326798</v>
      </c>
      <c r="D27" s="691">
        <f t="shared" ref="D27:R27" ca="1" si="3">D22+D16+D26</f>
        <v>6467.1428571428569</v>
      </c>
      <c r="E27" s="691">
        <f t="shared" ca="1" si="3"/>
        <v>33094.135887230281</v>
      </c>
      <c r="F27" s="691">
        <f t="shared" si="3"/>
        <v>2700.0565821437026</v>
      </c>
      <c r="G27" s="691">
        <f t="shared" ca="1" si="3"/>
        <v>38822.927187716756</v>
      </c>
      <c r="H27" s="691">
        <f t="shared" si="3"/>
        <v>29253.314576943205</v>
      </c>
      <c r="I27" s="691">
        <f t="shared" si="3"/>
        <v>5452.5333733749931</v>
      </c>
      <c r="J27" s="691">
        <f t="shared" si="3"/>
        <v>0</v>
      </c>
      <c r="K27" s="691">
        <f t="shared" si="3"/>
        <v>948.40774117118463</v>
      </c>
      <c r="L27" s="691">
        <f t="shared" si="3"/>
        <v>0</v>
      </c>
      <c r="M27" s="691">
        <f t="shared" ca="1" si="3"/>
        <v>0</v>
      </c>
      <c r="N27" s="691">
        <f t="shared" si="3"/>
        <v>2047.0781294407595</v>
      </c>
      <c r="O27" s="691">
        <f t="shared" ca="1" si="3"/>
        <v>6269.1800213228007</v>
      </c>
      <c r="P27" s="691">
        <f t="shared" si="3"/>
        <v>317.3080455366723</v>
      </c>
      <c r="Q27" s="691">
        <f t="shared" si="3"/>
        <v>442.42629092277093</v>
      </c>
      <c r="R27" s="691">
        <f t="shared" ca="1" si="3"/>
        <v>163967.61425927276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1618.2467543918419</v>
      </c>
      <c r="D40" s="681">
        <f ca="1">tertiair!C20</f>
        <v>0</v>
      </c>
      <c r="E40" s="681">
        <f ca="1">tertiair!D20</f>
        <v>1956.0034955017923</v>
      </c>
      <c r="F40" s="681">
        <f>tertiair!E20</f>
        <v>22.13256903883364</v>
      </c>
      <c r="G40" s="681">
        <f ca="1">tertiair!F20</f>
        <v>226.50119181472337</v>
      </c>
      <c r="H40" s="681">
        <f>tertiair!G20</f>
        <v>0</v>
      </c>
      <c r="I40" s="681">
        <f>tertiair!H20</f>
        <v>0</v>
      </c>
      <c r="J40" s="681">
        <f>tertiair!I20</f>
        <v>0</v>
      </c>
      <c r="K40" s="681">
        <f>tertiair!J20</f>
        <v>7.6432651085509406E-3</v>
      </c>
      <c r="L40" s="681">
        <f>tertiair!K20</f>
        <v>0</v>
      </c>
      <c r="M40" s="681">
        <f ca="1">tertiair!L20</f>
        <v>0</v>
      </c>
      <c r="N40" s="681">
        <f>tertiair!M20</f>
        <v>0</v>
      </c>
      <c r="O40" s="681">
        <f ca="1">tertiair!N20</f>
        <v>0</v>
      </c>
      <c r="P40" s="681">
        <f>tertiair!O20</f>
        <v>0</v>
      </c>
      <c r="Q40" s="764">
        <f>tertiair!P20</f>
        <v>0</v>
      </c>
      <c r="R40" s="843">
        <f t="shared" ca="1" si="4"/>
        <v>3822.8916540122996</v>
      </c>
    </row>
    <row r="41" spans="1:18">
      <c r="A41" s="815" t="s">
        <v>219</v>
      </c>
      <c r="B41" s="822"/>
      <c r="C41" s="681">
        <f ca="1">huishoudens!B12</f>
        <v>2855.2949923023511</v>
      </c>
      <c r="D41" s="681">
        <f ca="1">huishoudens!C12</f>
        <v>0</v>
      </c>
      <c r="E41" s="681">
        <f>huishoudens!D12</f>
        <v>4302.3192915322397</v>
      </c>
      <c r="F41" s="681">
        <f>huishoudens!E12</f>
        <v>352.51870343371013</v>
      </c>
      <c r="G41" s="681">
        <f>huishoudens!F12</f>
        <v>6684.4936008053864</v>
      </c>
      <c r="H41" s="681">
        <f>huishoudens!G12</f>
        <v>0</v>
      </c>
      <c r="I41" s="681">
        <f>huishoudens!H12</f>
        <v>0</v>
      </c>
      <c r="J41" s="681">
        <f>huishoudens!I12</f>
        <v>0</v>
      </c>
      <c r="K41" s="681">
        <f>huishoudens!J12</f>
        <v>35.405644414934962</v>
      </c>
      <c r="L41" s="681">
        <f>huishoudens!K12</f>
        <v>0</v>
      </c>
      <c r="M41" s="681">
        <f>huishoudens!L12</f>
        <v>0</v>
      </c>
      <c r="N41" s="681">
        <f>huishoudens!M12</f>
        <v>0</v>
      </c>
      <c r="O41" s="681">
        <f>huishoudens!N12</f>
        <v>0</v>
      </c>
      <c r="P41" s="681">
        <f>huishoudens!O12</f>
        <v>0</v>
      </c>
      <c r="Q41" s="764">
        <f>huishoudens!P12</f>
        <v>0</v>
      </c>
      <c r="R41" s="843">
        <f t="shared" ca="1" si="4"/>
        <v>14230.032232488624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2673.7630063880702</v>
      </c>
      <c r="D43" s="681">
        <f ca="1">industrie!C22</f>
        <v>0</v>
      </c>
      <c r="E43" s="681">
        <f>industrie!D22</f>
        <v>301.11421808674805</v>
      </c>
      <c r="F43" s="681">
        <f>industrie!E22</f>
        <v>206.58283990146793</v>
      </c>
      <c r="G43" s="681">
        <f>industrie!F22</f>
        <v>836.07614739952271</v>
      </c>
      <c r="H43" s="681">
        <f>industrie!G22</f>
        <v>0</v>
      </c>
      <c r="I43" s="681">
        <f>industrie!H22</f>
        <v>0</v>
      </c>
      <c r="J43" s="681">
        <f>industrie!I22</f>
        <v>0</v>
      </c>
      <c r="K43" s="681">
        <f>industrie!J22</f>
        <v>29.664387234619241</v>
      </c>
      <c r="L43" s="681">
        <f>industrie!K22</f>
        <v>0</v>
      </c>
      <c r="M43" s="681">
        <f>industrie!L22</f>
        <v>0</v>
      </c>
      <c r="N43" s="681">
        <f>industrie!M22</f>
        <v>0</v>
      </c>
      <c r="O43" s="681">
        <f>industrie!N22</f>
        <v>0</v>
      </c>
      <c r="P43" s="681">
        <f>industrie!O22</f>
        <v>0</v>
      </c>
      <c r="Q43" s="764">
        <f>industrie!P22</f>
        <v>0</v>
      </c>
      <c r="R43" s="842">
        <f t="shared" ca="1" si="4"/>
        <v>4047.2005990104285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7147.3047530822623</v>
      </c>
      <c r="D46" s="717">
        <f t="shared" ref="D46:Q46" ca="1" si="5">SUM(D39:D45)</f>
        <v>0</v>
      </c>
      <c r="E46" s="717">
        <f t="shared" ca="1" si="5"/>
        <v>6559.4370051207807</v>
      </c>
      <c r="F46" s="717">
        <f t="shared" si="5"/>
        <v>581.23411237401172</v>
      </c>
      <c r="G46" s="717">
        <f t="shared" ca="1" si="5"/>
        <v>7747.070940019632</v>
      </c>
      <c r="H46" s="717">
        <f t="shared" si="5"/>
        <v>0</v>
      </c>
      <c r="I46" s="717">
        <f t="shared" si="5"/>
        <v>0</v>
      </c>
      <c r="J46" s="717">
        <f t="shared" si="5"/>
        <v>0</v>
      </c>
      <c r="K46" s="717">
        <f t="shared" si="5"/>
        <v>65.077674914662751</v>
      </c>
      <c r="L46" s="717">
        <f t="shared" si="5"/>
        <v>0</v>
      </c>
      <c r="M46" s="717">
        <f t="shared" ca="1" si="5"/>
        <v>0</v>
      </c>
      <c r="N46" s="717">
        <f t="shared" si="5"/>
        <v>0</v>
      </c>
      <c r="O46" s="717">
        <f t="shared" ca="1" si="5"/>
        <v>0</v>
      </c>
      <c r="P46" s="717">
        <f t="shared" si="5"/>
        <v>0</v>
      </c>
      <c r="Q46" s="717">
        <f t="shared" si="5"/>
        <v>0</v>
      </c>
      <c r="R46" s="717">
        <f ca="1">SUM(R39:R45)</f>
        <v>22100.124485511355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0.3848869971173427</v>
      </c>
      <c r="D49" s="681">
        <f ca="1">transport!C58</f>
        <v>0</v>
      </c>
      <c r="E49" s="681">
        <f>transport!D58</f>
        <v>0</v>
      </c>
      <c r="F49" s="681">
        <f>transport!E58</f>
        <v>0</v>
      </c>
      <c r="G49" s="681">
        <f>transport!F58</f>
        <v>0</v>
      </c>
      <c r="H49" s="681">
        <f>transport!G58</f>
        <v>36.490378037383216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36.875265034500558</v>
      </c>
    </row>
    <row r="50" spans="1:18">
      <c r="A50" s="818" t="s">
        <v>301</v>
      </c>
      <c r="B50" s="828"/>
      <c r="C50" s="687">
        <f ca="1">transport!B18</f>
        <v>6.8267043473193274</v>
      </c>
      <c r="D50" s="687">
        <f>transport!C18</f>
        <v>0</v>
      </c>
      <c r="E50" s="687">
        <f>transport!D18</f>
        <v>12.422349123736261</v>
      </c>
      <c r="F50" s="687">
        <f>transport!E18</f>
        <v>12.017932193749163</v>
      </c>
      <c r="G50" s="687">
        <f>transport!F18</f>
        <v>0</v>
      </c>
      <c r="H50" s="687">
        <f>transport!G18</f>
        <v>7774.1446140064527</v>
      </c>
      <c r="I50" s="687">
        <f>transport!H18</f>
        <v>1357.6808099703733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9163.0924096416311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7.2115913444366697</v>
      </c>
      <c r="D52" s="717">
        <f t="shared" ref="D52:Q52" ca="1" si="6">SUM(D48:D51)</f>
        <v>0</v>
      </c>
      <c r="E52" s="717">
        <f t="shared" si="6"/>
        <v>12.422349123736261</v>
      </c>
      <c r="F52" s="717">
        <f t="shared" si="6"/>
        <v>12.017932193749163</v>
      </c>
      <c r="G52" s="717">
        <f t="shared" si="6"/>
        <v>0</v>
      </c>
      <c r="H52" s="717">
        <f t="shared" si="6"/>
        <v>7810.6349920438361</v>
      </c>
      <c r="I52" s="717">
        <f t="shared" si="6"/>
        <v>1357.6808099703733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9199.9676746761324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566.23889130670784</v>
      </c>
      <c r="D54" s="687">
        <f ca="1">+landbouw!C12</f>
        <v>1536.8974789915969</v>
      </c>
      <c r="E54" s="687">
        <f>+landbouw!D12</f>
        <v>0</v>
      </c>
      <c r="F54" s="687">
        <f>+landbouw!E12</f>
        <v>19.66079957885955</v>
      </c>
      <c r="G54" s="687">
        <f>+landbouw!F12</f>
        <v>2618.6506191007425</v>
      </c>
      <c r="H54" s="687">
        <f>+landbouw!G12</f>
        <v>0</v>
      </c>
      <c r="I54" s="687">
        <f>+landbouw!H12</f>
        <v>0</v>
      </c>
      <c r="J54" s="687">
        <f>+landbouw!I12</f>
        <v>0</v>
      </c>
      <c r="K54" s="687">
        <f>+landbouw!J12</f>
        <v>270.65866545993657</v>
      </c>
      <c r="L54" s="687">
        <f>+landbouw!K12</f>
        <v>0</v>
      </c>
      <c r="M54" s="687">
        <f>+landbouw!L12</f>
        <v>0</v>
      </c>
      <c r="N54" s="687">
        <f>+landbouw!M12</f>
        <v>0</v>
      </c>
      <c r="O54" s="687">
        <f>+landbouw!N12</f>
        <v>0</v>
      </c>
      <c r="P54" s="687">
        <f>+landbouw!O12</f>
        <v>0</v>
      </c>
      <c r="Q54" s="688">
        <f>+landbouw!P12</f>
        <v>0</v>
      </c>
      <c r="R54" s="716">
        <f ca="1">SUM(C54:Q54)</f>
        <v>5012.1064544378432</v>
      </c>
    </row>
    <row r="55" spans="1:18" ht="15" thickBot="1">
      <c r="A55" s="818" t="s">
        <v>714</v>
      </c>
      <c r="B55" s="828"/>
      <c r="C55" s="687">
        <f ca="1">C25*'EF ele_warmte'!B12</f>
        <v>63.972489454191958</v>
      </c>
      <c r="D55" s="687"/>
      <c r="E55" s="687">
        <f>E25*EF_CO2_aardgas</f>
        <v>113.15609497600001</v>
      </c>
      <c r="F55" s="687"/>
      <c r="G55" s="687"/>
      <c r="H55" s="687"/>
      <c r="I55" s="687"/>
      <c r="J55" s="687"/>
      <c r="K55" s="687"/>
      <c r="L55" s="687"/>
      <c r="M55" s="687"/>
      <c r="N55" s="687"/>
      <c r="O55" s="687"/>
      <c r="P55" s="687"/>
      <c r="Q55" s="688"/>
      <c r="R55" s="716">
        <f ca="1">SUM(C55:Q55)</f>
        <v>177.12858443019195</v>
      </c>
    </row>
    <row r="56" spans="1:18" ht="15.75" thickBot="1">
      <c r="A56" s="816" t="s">
        <v>715</v>
      </c>
      <c r="B56" s="829"/>
      <c r="C56" s="717">
        <f ca="1">SUM(C54:C55)</f>
        <v>630.21138076089983</v>
      </c>
      <c r="D56" s="717">
        <f t="shared" ref="D56:Q56" ca="1" si="7">SUM(D54:D55)</f>
        <v>1536.8974789915969</v>
      </c>
      <c r="E56" s="717">
        <f t="shared" si="7"/>
        <v>113.15609497600001</v>
      </c>
      <c r="F56" s="717">
        <f t="shared" si="7"/>
        <v>19.66079957885955</v>
      </c>
      <c r="G56" s="717">
        <f t="shared" si="7"/>
        <v>2618.6506191007425</v>
      </c>
      <c r="H56" s="717">
        <f t="shared" si="7"/>
        <v>0</v>
      </c>
      <c r="I56" s="717">
        <f t="shared" si="7"/>
        <v>0</v>
      </c>
      <c r="J56" s="717">
        <f t="shared" si="7"/>
        <v>0</v>
      </c>
      <c r="K56" s="717">
        <f t="shared" si="7"/>
        <v>270.65866545993657</v>
      </c>
      <c r="L56" s="717">
        <f t="shared" si="7"/>
        <v>0</v>
      </c>
      <c r="M56" s="717">
        <f t="shared" si="7"/>
        <v>0</v>
      </c>
      <c r="N56" s="717">
        <f t="shared" si="7"/>
        <v>0</v>
      </c>
      <c r="O56" s="717">
        <f t="shared" si="7"/>
        <v>0</v>
      </c>
      <c r="P56" s="717">
        <f t="shared" si="7"/>
        <v>0</v>
      </c>
      <c r="Q56" s="718">
        <f t="shared" si="7"/>
        <v>0</v>
      </c>
      <c r="R56" s="719">
        <f ca="1">SUM(R54:R55)</f>
        <v>5189.2350388680352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7784.7277251875985</v>
      </c>
      <c r="D61" s="725">
        <f t="shared" ref="D61:Q61" ca="1" si="8">D46+D52+D56</f>
        <v>1536.8974789915969</v>
      </c>
      <c r="E61" s="725">
        <f t="shared" ca="1" si="8"/>
        <v>6685.0154492205165</v>
      </c>
      <c r="F61" s="725">
        <f t="shared" si="8"/>
        <v>612.91284414662039</v>
      </c>
      <c r="G61" s="725">
        <f t="shared" ca="1" si="8"/>
        <v>10365.721559120375</v>
      </c>
      <c r="H61" s="725">
        <f t="shared" si="8"/>
        <v>7810.6349920438361</v>
      </c>
      <c r="I61" s="725">
        <f t="shared" si="8"/>
        <v>1357.6808099703733</v>
      </c>
      <c r="J61" s="725">
        <f t="shared" si="8"/>
        <v>0</v>
      </c>
      <c r="K61" s="725">
        <f t="shared" si="8"/>
        <v>335.73634037459931</v>
      </c>
      <c r="L61" s="725">
        <f t="shared" si="8"/>
        <v>0</v>
      </c>
      <c r="M61" s="725">
        <f t="shared" ca="1" si="8"/>
        <v>0</v>
      </c>
      <c r="N61" s="725">
        <f t="shared" si="8"/>
        <v>0</v>
      </c>
      <c r="O61" s="725">
        <f t="shared" ca="1" si="8"/>
        <v>0</v>
      </c>
      <c r="P61" s="725">
        <f t="shared" si="8"/>
        <v>0</v>
      </c>
      <c r="Q61" s="725">
        <f t="shared" si="8"/>
        <v>0</v>
      </c>
      <c r="R61" s="725">
        <f ca="1">R46+R52+R56</f>
        <v>36489.327199055522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0.20403917368489652</v>
      </c>
      <c r="D63" s="771">
        <f t="shared" ca="1" si="9"/>
        <v>0.23764705882352946</v>
      </c>
      <c r="E63" s="969">
        <f t="shared" ca="1" si="9"/>
        <v>0.20199999999999999</v>
      </c>
      <c r="F63" s="771">
        <f t="shared" si="9"/>
        <v>0.22699999999999995</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3269.0922998404558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4527</v>
      </c>
      <c r="D76" s="952">
        <f>'lokale energieproductie'!C8</f>
        <v>5325.8823529411775</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1075.828235294118</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3269.0922998404558</v>
      </c>
      <c r="C78" s="743">
        <f>SUM(C72:C77)</f>
        <v>4527</v>
      </c>
      <c r="D78" s="744">
        <f t="shared" ref="D78:H78" si="10">SUM(D76:D77)</f>
        <v>5325.8823529411775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1075.828235294118</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6467.1428571428569</v>
      </c>
      <c r="D87" s="767">
        <f>'lokale energieproductie'!C17</f>
        <v>7608.403361344539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1536.8974789915969</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6467.1428571428569</v>
      </c>
      <c r="D90" s="743">
        <f t="shared" ref="D90:H90" si="12">SUM(D87:D89)</f>
        <v>7608.403361344539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1536.8974789915969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13993.856869425788</v>
      </c>
      <c r="C4" s="448">
        <f>huishoudens!C8</f>
        <v>0</v>
      </c>
      <c r="D4" s="448">
        <f>huishoudens!D8</f>
        <v>21298.610354119999</v>
      </c>
      <c r="E4" s="448">
        <f>huishoudens!E8</f>
        <v>1552.9458301044499</v>
      </c>
      <c r="F4" s="448">
        <f>huishoudens!F8</f>
        <v>25035.556557323544</v>
      </c>
      <c r="G4" s="448">
        <f>huishoudens!G8</f>
        <v>0</v>
      </c>
      <c r="H4" s="448">
        <f>huishoudens!H8</f>
        <v>0</v>
      </c>
      <c r="I4" s="448">
        <f>huishoudens!I8</f>
        <v>0</v>
      </c>
      <c r="J4" s="448">
        <f>huishoudens!J8</f>
        <v>100.01594467495752</v>
      </c>
      <c r="K4" s="448">
        <f>huishoudens!K8</f>
        <v>0</v>
      </c>
      <c r="L4" s="448">
        <f>huishoudens!L8</f>
        <v>0</v>
      </c>
      <c r="M4" s="448">
        <f>huishoudens!M8</f>
        <v>0</v>
      </c>
      <c r="N4" s="448">
        <f>huishoudens!N8</f>
        <v>4853.2881306110739</v>
      </c>
      <c r="O4" s="448">
        <f>huishoudens!O8</f>
        <v>307.51352400498996</v>
      </c>
      <c r="P4" s="449">
        <f>huishoudens!P8</f>
        <v>442.42629092277093</v>
      </c>
      <c r="Q4" s="450">
        <f>SUM(B4:P4)</f>
        <v>67584.213501187565</v>
      </c>
    </row>
    <row r="5" spans="1:17">
      <c r="A5" s="447" t="s">
        <v>155</v>
      </c>
      <c r="B5" s="448">
        <f ca="1">tertiair!B16</f>
        <v>7310.4351449999995</v>
      </c>
      <c r="C5" s="448">
        <f ca="1">tertiair!C16</f>
        <v>0</v>
      </c>
      <c r="D5" s="448">
        <f ca="1">tertiair!D16</f>
        <v>9683.185621296001</v>
      </c>
      <c r="E5" s="448">
        <f>tertiair!E16</f>
        <v>97.500304135831016</v>
      </c>
      <c r="F5" s="448">
        <f ca="1">tertiair!F16</f>
        <v>848.31907046712865</v>
      </c>
      <c r="G5" s="448">
        <f>tertiair!G16</f>
        <v>0</v>
      </c>
      <c r="H5" s="448">
        <f>tertiair!H16</f>
        <v>0</v>
      </c>
      <c r="I5" s="448">
        <f>tertiair!I16</f>
        <v>0</v>
      </c>
      <c r="J5" s="448">
        <f>tertiair!J16</f>
        <v>2.1591144374437685E-2</v>
      </c>
      <c r="K5" s="448">
        <f>tertiair!K16</f>
        <v>0</v>
      </c>
      <c r="L5" s="448">
        <f ca="1">tertiair!L16</f>
        <v>0</v>
      </c>
      <c r="M5" s="448">
        <f>tertiair!M16</f>
        <v>0</v>
      </c>
      <c r="N5" s="448">
        <f ca="1">tertiair!N16</f>
        <v>847.90681385528637</v>
      </c>
      <c r="O5" s="448">
        <f>tertiair!O16</f>
        <v>9.7945215316823084</v>
      </c>
      <c r="P5" s="449">
        <f>tertiair!P16</f>
        <v>0</v>
      </c>
      <c r="Q5" s="447">
        <f t="shared" ref="Q5:Q14" ca="1" si="0">SUM(B5:P5)</f>
        <v>18797.163067430305</v>
      </c>
    </row>
    <row r="6" spans="1:17">
      <c r="A6" s="447" t="s">
        <v>193</v>
      </c>
      <c r="B6" s="448">
        <f>'openbare verlichting'!B8</f>
        <v>620.62400000000002</v>
      </c>
      <c r="C6" s="448"/>
      <c r="D6" s="448"/>
      <c r="E6" s="448"/>
      <c r="F6" s="448"/>
      <c r="G6" s="448"/>
      <c r="H6" s="448"/>
      <c r="I6" s="448"/>
      <c r="J6" s="448"/>
      <c r="K6" s="448"/>
      <c r="L6" s="448"/>
      <c r="M6" s="448"/>
      <c r="N6" s="448"/>
      <c r="O6" s="448"/>
      <c r="P6" s="449"/>
      <c r="Q6" s="447">
        <f t="shared" si="0"/>
        <v>620.62400000000002</v>
      </c>
    </row>
    <row r="7" spans="1:17">
      <c r="A7" s="447" t="s">
        <v>111</v>
      </c>
      <c r="B7" s="448">
        <f>landbouw!B8</f>
        <v>2775.1479340000001</v>
      </c>
      <c r="C7" s="448">
        <f>landbouw!C8</f>
        <v>6467.1428571428569</v>
      </c>
      <c r="D7" s="448">
        <f>landbouw!D8</f>
        <v>0</v>
      </c>
      <c r="E7" s="448">
        <f>landbouw!E8</f>
        <v>86.611451889249111</v>
      </c>
      <c r="F7" s="448">
        <f>landbouw!F8</f>
        <v>9807.6802213510946</v>
      </c>
      <c r="G7" s="448">
        <f>landbouw!G8</f>
        <v>0</v>
      </c>
      <c r="H7" s="448">
        <f>landbouw!H8</f>
        <v>0</v>
      </c>
      <c r="I7" s="448">
        <f>landbouw!I8</f>
        <v>0</v>
      </c>
      <c r="J7" s="448">
        <f>landbouw!J8</f>
        <v>764.57250129925592</v>
      </c>
      <c r="K7" s="448">
        <f>landbouw!K8</f>
        <v>0</v>
      </c>
      <c r="L7" s="448">
        <f>landbouw!L8</f>
        <v>0</v>
      </c>
      <c r="M7" s="448">
        <f>landbouw!M8</f>
        <v>0</v>
      </c>
      <c r="N7" s="448">
        <f>landbouw!N8</f>
        <v>0</v>
      </c>
      <c r="O7" s="448">
        <f>landbouw!O8</f>
        <v>0</v>
      </c>
      <c r="P7" s="449">
        <f>landbouw!P8</f>
        <v>0</v>
      </c>
      <c r="Q7" s="447">
        <f t="shared" si="0"/>
        <v>19901.154965682457</v>
      </c>
    </row>
    <row r="8" spans="1:17">
      <c r="A8" s="447" t="s">
        <v>618</v>
      </c>
      <c r="B8" s="448">
        <f>industrie!B18</f>
        <v>13104.165039</v>
      </c>
      <c r="C8" s="448">
        <f>industrie!C18</f>
        <v>0</v>
      </c>
      <c r="D8" s="448">
        <f>industrie!D18</f>
        <v>1490.664445974</v>
      </c>
      <c r="E8" s="448">
        <f>industrie!E18</f>
        <v>910.05656344259</v>
      </c>
      <c r="F8" s="448">
        <f>industrie!F18</f>
        <v>3131.3713385749911</v>
      </c>
      <c r="G8" s="448">
        <f>industrie!G18</f>
        <v>0</v>
      </c>
      <c r="H8" s="448">
        <f>industrie!H18</f>
        <v>0</v>
      </c>
      <c r="I8" s="448">
        <f>industrie!I18</f>
        <v>0</v>
      </c>
      <c r="J8" s="448">
        <f>industrie!J18</f>
        <v>83.797704052596728</v>
      </c>
      <c r="K8" s="448">
        <f>industrie!K18</f>
        <v>0</v>
      </c>
      <c r="L8" s="448">
        <f>industrie!L18</f>
        <v>0</v>
      </c>
      <c r="M8" s="448">
        <f>industrie!M18</f>
        <v>0</v>
      </c>
      <c r="N8" s="448">
        <f>industrie!N18</f>
        <v>567.98507685643995</v>
      </c>
      <c r="O8" s="448">
        <f>industrie!O18</f>
        <v>0</v>
      </c>
      <c r="P8" s="449">
        <f>industrie!P18</f>
        <v>0</v>
      </c>
      <c r="Q8" s="447">
        <f t="shared" si="0"/>
        <v>19288.040167900617</v>
      </c>
    </row>
    <row r="9" spans="1:17" s="453" customFormat="1">
      <c r="A9" s="451" t="s">
        <v>544</v>
      </c>
      <c r="B9" s="452">
        <f>transport!B14</f>
        <v>33.45781216435428</v>
      </c>
      <c r="C9" s="452">
        <f>transport!C14</f>
        <v>0</v>
      </c>
      <c r="D9" s="452">
        <f>transport!D14</f>
        <v>61.496777840278511</v>
      </c>
      <c r="E9" s="452">
        <f>transport!E14</f>
        <v>52.942432571582209</v>
      </c>
      <c r="F9" s="452">
        <f>transport!F14</f>
        <v>0</v>
      </c>
      <c r="G9" s="452">
        <f>transport!G14</f>
        <v>29116.646494406188</v>
      </c>
      <c r="H9" s="452">
        <f>transport!H14</f>
        <v>5452.5333733749931</v>
      </c>
      <c r="I9" s="452">
        <f>transport!I14</f>
        <v>0</v>
      </c>
      <c r="J9" s="452">
        <f>transport!J14</f>
        <v>0</v>
      </c>
      <c r="K9" s="452">
        <f>transport!K14</f>
        <v>0</v>
      </c>
      <c r="L9" s="452">
        <f>transport!L14</f>
        <v>0</v>
      </c>
      <c r="M9" s="452">
        <f>transport!M14</f>
        <v>2039.347775694773</v>
      </c>
      <c r="N9" s="452">
        <f>transport!N14</f>
        <v>0</v>
      </c>
      <c r="O9" s="452">
        <f>transport!O14</f>
        <v>0</v>
      </c>
      <c r="P9" s="452">
        <f>transport!P14</f>
        <v>0</v>
      </c>
      <c r="Q9" s="451">
        <f>SUM(B9:P9)</f>
        <v>36756.424666052168</v>
      </c>
    </row>
    <row r="10" spans="1:17">
      <c r="A10" s="447" t="s">
        <v>534</v>
      </c>
      <c r="B10" s="448">
        <f>transport!B54</f>
        <v>1.88633873665718</v>
      </c>
      <c r="C10" s="448">
        <f>transport!C54</f>
        <v>0</v>
      </c>
      <c r="D10" s="448">
        <f>transport!D54</f>
        <v>0</v>
      </c>
      <c r="E10" s="448">
        <f>transport!E54</f>
        <v>0</v>
      </c>
      <c r="F10" s="448">
        <f>transport!F54</f>
        <v>0</v>
      </c>
      <c r="G10" s="448">
        <f>transport!G54</f>
        <v>136.66808253701578</v>
      </c>
      <c r="H10" s="448">
        <f>transport!H54</f>
        <v>0</v>
      </c>
      <c r="I10" s="448">
        <f>transport!I54</f>
        <v>0</v>
      </c>
      <c r="J10" s="448">
        <f>transport!J54</f>
        <v>0</v>
      </c>
      <c r="K10" s="448">
        <f>transport!K54</f>
        <v>0</v>
      </c>
      <c r="L10" s="448">
        <f>transport!L54</f>
        <v>0</v>
      </c>
      <c r="M10" s="448">
        <f>transport!M54</f>
        <v>7.7303537459865401</v>
      </c>
      <c r="N10" s="448">
        <f>transport!N54</f>
        <v>0</v>
      </c>
      <c r="O10" s="448">
        <f>transport!O54</f>
        <v>0</v>
      </c>
      <c r="P10" s="449">
        <f>transport!P54</f>
        <v>0</v>
      </c>
      <c r="Q10" s="447">
        <f t="shared" si="0"/>
        <v>146.28477501965952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313.53042800000003</v>
      </c>
      <c r="C14" s="455"/>
      <c r="D14" s="455">
        <f>'SEAP template'!E25</f>
        <v>560.17868799999997</v>
      </c>
      <c r="E14" s="455"/>
      <c r="F14" s="455"/>
      <c r="G14" s="455"/>
      <c r="H14" s="455"/>
      <c r="I14" s="455"/>
      <c r="J14" s="455"/>
      <c r="K14" s="455"/>
      <c r="L14" s="455"/>
      <c r="M14" s="455"/>
      <c r="N14" s="455"/>
      <c r="O14" s="455"/>
      <c r="P14" s="456"/>
      <c r="Q14" s="447">
        <f t="shared" si="0"/>
        <v>873.70911599999999</v>
      </c>
    </row>
    <row r="15" spans="1:17" s="459" customFormat="1">
      <c r="A15" s="457" t="s">
        <v>538</v>
      </c>
      <c r="B15" s="458">
        <f ca="1">SUM(B4:B14)</f>
        <v>38153.103566326798</v>
      </c>
      <c r="C15" s="458">
        <f t="shared" ref="C15:Q15" ca="1" si="1">SUM(C4:C14)</f>
        <v>6467.1428571428569</v>
      </c>
      <c r="D15" s="458">
        <f t="shared" ca="1" si="1"/>
        <v>33094.135887230281</v>
      </c>
      <c r="E15" s="458">
        <f t="shared" si="1"/>
        <v>2700.0565821437026</v>
      </c>
      <c r="F15" s="458">
        <f t="shared" ca="1" si="1"/>
        <v>38822.927187716763</v>
      </c>
      <c r="G15" s="458">
        <f t="shared" si="1"/>
        <v>29253.314576943205</v>
      </c>
      <c r="H15" s="458">
        <f t="shared" si="1"/>
        <v>5452.5333733749931</v>
      </c>
      <c r="I15" s="458">
        <f t="shared" si="1"/>
        <v>0</v>
      </c>
      <c r="J15" s="458">
        <f t="shared" si="1"/>
        <v>948.40774117118463</v>
      </c>
      <c r="K15" s="458">
        <f t="shared" si="1"/>
        <v>0</v>
      </c>
      <c r="L15" s="458">
        <f t="shared" ca="1" si="1"/>
        <v>0</v>
      </c>
      <c r="M15" s="458">
        <f t="shared" si="1"/>
        <v>2047.0781294407595</v>
      </c>
      <c r="N15" s="458">
        <f t="shared" ca="1" si="1"/>
        <v>6269.1800213228007</v>
      </c>
      <c r="O15" s="458">
        <f t="shared" si="1"/>
        <v>317.3080455366723</v>
      </c>
      <c r="P15" s="458">
        <f t="shared" si="1"/>
        <v>442.42629092277093</v>
      </c>
      <c r="Q15" s="458">
        <f t="shared" ca="1" si="1"/>
        <v>163967.61425927276</v>
      </c>
    </row>
    <row r="17" spans="1:17">
      <c r="A17" s="460" t="s">
        <v>539</v>
      </c>
      <c r="B17" s="776">
        <f ca="1">huishoudens!B10</f>
        <v>0.20403917368489655</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2855.2949923023511</v>
      </c>
      <c r="C22" s="448">
        <f t="shared" ref="C22:C32" ca="1" si="3">C4*$C$17</f>
        <v>0</v>
      </c>
      <c r="D22" s="448">
        <f t="shared" ref="D22:D32" si="4">D4*$D$17</f>
        <v>4302.3192915322397</v>
      </c>
      <c r="E22" s="448">
        <f t="shared" ref="E22:E32" si="5">E4*$E$17</f>
        <v>352.51870343371013</v>
      </c>
      <c r="F22" s="448">
        <f t="shared" ref="F22:F32" si="6">F4*$F$17</f>
        <v>6684.4936008053864</v>
      </c>
      <c r="G22" s="448">
        <f t="shared" ref="G22:G32" si="7">G4*$G$17</f>
        <v>0</v>
      </c>
      <c r="H22" s="448">
        <f t="shared" ref="H22:H32" si="8">H4*$H$17</f>
        <v>0</v>
      </c>
      <c r="I22" s="448">
        <f t="shared" ref="I22:I32" si="9">I4*$I$17</f>
        <v>0</v>
      </c>
      <c r="J22" s="448">
        <f t="shared" ref="J22:J32" si="10">J4*$J$17</f>
        <v>35.405644414934962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14230.032232488624</v>
      </c>
    </row>
    <row r="23" spans="1:17">
      <c r="A23" s="447" t="s">
        <v>155</v>
      </c>
      <c r="B23" s="448">
        <f t="shared" ca="1" si="2"/>
        <v>1491.6151462628268</v>
      </c>
      <c r="C23" s="448">
        <f t="shared" ca="1" si="3"/>
        <v>0</v>
      </c>
      <c r="D23" s="448">
        <f t="shared" ca="1" si="4"/>
        <v>1956.0034955017923</v>
      </c>
      <c r="E23" s="448">
        <f t="shared" si="5"/>
        <v>22.13256903883364</v>
      </c>
      <c r="F23" s="448">
        <f t="shared" ca="1" si="6"/>
        <v>226.50119181472337</v>
      </c>
      <c r="G23" s="448">
        <f t="shared" si="7"/>
        <v>0</v>
      </c>
      <c r="H23" s="448">
        <f t="shared" si="8"/>
        <v>0</v>
      </c>
      <c r="I23" s="448">
        <f t="shared" si="9"/>
        <v>0</v>
      </c>
      <c r="J23" s="448">
        <f t="shared" si="10"/>
        <v>7.6432651085509406E-3</v>
      </c>
      <c r="K23" s="448">
        <f t="shared" si="11"/>
        <v>0</v>
      </c>
      <c r="L23" s="448">
        <f t="shared" ca="1" si="12"/>
        <v>0</v>
      </c>
      <c r="M23" s="448">
        <f t="shared" si="13"/>
        <v>0</v>
      </c>
      <c r="N23" s="448">
        <f t="shared" ca="1" si="14"/>
        <v>0</v>
      </c>
      <c r="O23" s="448">
        <f t="shared" si="15"/>
        <v>0</v>
      </c>
      <c r="P23" s="449">
        <f t="shared" si="16"/>
        <v>0</v>
      </c>
      <c r="Q23" s="447">
        <f t="shared" ref="Q23:Q31" ca="1" si="17">SUM(B23:P23)</f>
        <v>3696.2600458832844</v>
      </c>
    </row>
    <row r="24" spans="1:17">
      <c r="A24" s="447" t="s">
        <v>193</v>
      </c>
      <c r="B24" s="448">
        <f t="shared" ca="1" si="2"/>
        <v>126.63160812901523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126.63160812901523</v>
      </c>
    </row>
    <row r="25" spans="1:17">
      <c r="A25" s="447" t="s">
        <v>111</v>
      </c>
      <c r="B25" s="448">
        <f t="shared" ca="1" si="2"/>
        <v>566.23889130670784</v>
      </c>
      <c r="C25" s="448">
        <f t="shared" ca="1" si="3"/>
        <v>1536.8974789915969</v>
      </c>
      <c r="D25" s="448">
        <f t="shared" si="4"/>
        <v>0</v>
      </c>
      <c r="E25" s="448">
        <f t="shared" si="5"/>
        <v>19.66079957885955</v>
      </c>
      <c r="F25" s="448">
        <f t="shared" si="6"/>
        <v>2618.6506191007425</v>
      </c>
      <c r="G25" s="448">
        <f t="shared" si="7"/>
        <v>0</v>
      </c>
      <c r="H25" s="448">
        <f t="shared" si="8"/>
        <v>0</v>
      </c>
      <c r="I25" s="448">
        <f t="shared" si="9"/>
        <v>0</v>
      </c>
      <c r="J25" s="448">
        <f t="shared" si="10"/>
        <v>270.65866545993657</v>
      </c>
      <c r="K25" s="448">
        <f t="shared" si="11"/>
        <v>0</v>
      </c>
      <c r="L25" s="448">
        <f t="shared" si="12"/>
        <v>0</v>
      </c>
      <c r="M25" s="448">
        <f t="shared" si="13"/>
        <v>0</v>
      </c>
      <c r="N25" s="448">
        <f t="shared" si="14"/>
        <v>0</v>
      </c>
      <c r="O25" s="448">
        <f t="shared" si="15"/>
        <v>0</v>
      </c>
      <c r="P25" s="449">
        <f t="shared" si="16"/>
        <v>0</v>
      </c>
      <c r="Q25" s="447">
        <f t="shared" ca="1" si="17"/>
        <v>5012.1064544378432</v>
      </c>
    </row>
    <row r="26" spans="1:17">
      <c r="A26" s="447" t="s">
        <v>618</v>
      </c>
      <c r="B26" s="448">
        <f t="shared" ca="1" si="2"/>
        <v>2673.7630063880702</v>
      </c>
      <c r="C26" s="448">
        <f t="shared" ca="1" si="3"/>
        <v>0</v>
      </c>
      <c r="D26" s="448">
        <f t="shared" si="4"/>
        <v>301.11421808674805</v>
      </c>
      <c r="E26" s="448">
        <f t="shared" si="5"/>
        <v>206.58283990146793</v>
      </c>
      <c r="F26" s="448">
        <f t="shared" si="6"/>
        <v>836.07614739952271</v>
      </c>
      <c r="G26" s="448">
        <f t="shared" si="7"/>
        <v>0</v>
      </c>
      <c r="H26" s="448">
        <f t="shared" si="8"/>
        <v>0</v>
      </c>
      <c r="I26" s="448">
        <f t="shared" si="9"/>
        <v>0</v>
      </c>
      <c r="J26" s="448">
        <f t="shared" si="10"/>
        <v>29.664387234619241</v>
      </c>
      <c r="K26" s="448">
        <f t="shared" si="11"/>
        <v>0</v>
      </c>
      <c r="L26" s="448">
        <f t="shared" si="12"/>
        <v>0</v>
      </c>
      <c r="M26" s="448">
        <f t="shared" si="13"/>
        <v>0</v>
      </c>
      <c r="N26" s="448">
        <f t="shared" si="14"/>
        <v>0</v>
      </c>
      <c r="O26" s="448">
        <f t="shared" si="15"/>
        <v>0</v>
      </c>
      <c r="P26" s="449">
        <f t="shared" si="16"/>
        <v>0</v>
      </c>
      <c r="Q26" s="447">
        <f t="shared" ca="1" si="17"/>
        <v>4047.2005990104285</v>
      </c>
    </row>
    <row r="27" spans="1:17" s="453" customFormat="1">
      <c r="A27" s="451" t="s">
        <v>544</v>
      </c>
      <c r="B27" s="770">
        <f t="shared" ca="1" si="2"/>
        <v>6.8267043473193274</v>
      </c>
      <c r="C27" s="452">
        <f t="shared" ca="1" si="3"/>
        <v>0</v>
      </c>
      <c r="D27" s="452">
        <f t="shared" si="4"/>
        <v>12.422349123736261</v>
      </c>
      <c r="E27" s="452">
        <f t="shared" si="5"/>
        <v>12.017932193749163</v>
      </c>
      <c r="F27" s="452">
        <f t="shared" si="6"/>
        <v>0</v>
      </c>
      <c r="G27" s="452">
        <f t="shared" si="7"/>
        <v>7774.1446140064527</v>
      </c>
      <c r="H27" s="452">
        <f t="shared" si="8"/>
        <v>1357.6808099703733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9163.0924096416311</v>
      </c>
    </row>
    <row r="28" spans="1:17" ht="16.5" customHeight="1">
      <c r="A28" s="447" t="s">
        <v>534</v>
      </c>
      <c r="B28" s="448">
        <f t="shared" ca="1" si="2"/>
        <v>0.3848869971173427</v>
      </c>
      <c r="C28" s="448">
        <f t="shared" ca="1" si="3"/>
        <v>0</v>
      </c>
      <c r="D28" s="448">
        <f t="shared" si="4"/>
        <v>0</v>
      </c>
      <c r="E28" s="448">
        <f t="shared" si="5"/>
        <v>0</v>
      </c>
      <c r="F28" s="448">
        <f t="shared" si="6"/>
        <v>0</v>
      </c>
      <c r="G28" s="448">
        <f t="shared" si="7"/>
        <v>36.490378037383216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36.875265034500558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63.972489454191958</v>
      </c>
      <c r="C32" s="448">
        <f t="shared" ca="1" si="3"/>
        <v>0</v>
      </c>
      <c r="D32" s="448">
        <f t="shared" si="4"/>
        <v>113.15609497600001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177.12858443019195</v>
      </c>
    </row>
    <row r="33" spans="1:17" s="459" customFormat="1">
      <c r="A33" s="457" t="s">
        <v>538</v>
      </c>
      <c r="B33" s="458">
        <f ca="1">SUM(B22:B32)</f>
        <v>7784.7277251875994</v>
      </c>
      <c r="C33" s="458">
        <f t="shared" ref="C33:Q33" ca="1" si="19">SUM(C22:C32)</f>
        <v>1536.8974789915969</v>
      </c>
      <c r="D33" s="458">
        <f t="shared" ca="1" si="19"/>
        <v>6685.0154492205165</v>
      </c>
      <c r="E33" s="458">
        <f t="shared" si="19"/>
        <v>612.9128441466205</v>
      </c>
      <c r="F33" s="458">
        <f t="shared" ca="1" si="19"/>
        <v>10365.721559120375</v>
      </c>
      <c r="G33" s="458">
        <f t="shared" si="19"/>
        <v>7810.6349920438361</v>
      </c>
      <c r="H33" s="458">
        <f t="shared" si="19"/>
        <v>1357.6808099703733</v>
      </c>
      <c r="I33" s="458">
        <f t="shared" si="19"/>
        <v>0</v>
      </c>
      <c r="J33" s="458">
        <f t="shared" si="19"/>
        <v>335.73634037459937</v>
      </c>
      <c r="K33" s="458">
        <f t="shared" si="19"/>
        <v>0</v>
      </c>
      <c r="L33" s="458">
        <f t="shared" ca="1" si="19"/>
        <v>0</v>
      </c>
      <c r="M33" s="458">
        <f t="shared" si="19"/>
        <v>0</v>
      </c>
      <c r="N33" s="458">
        <f t="shared" ca="1" si="19"/>
        <v>0</v>
      </c>
      <c r="O33" s="458">
        <f t="shared" si="19"/>
        <v>0</v>
      </c>
      <c r="P33" s="458">
        <f t="shared" si="19"/>
        <v>0</v>
      </c>
      <c r="Q33" s="458">
        <f t="shared" ca="1" si="19"/>
        <v>36489.327199055515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3269.0922998404558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4527</v>
      </c>
      <c r="D8" s="1021">
        <f>'SEAP template'!D76</f>
        <v>5325.8823529411775</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1075.828235294118</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3269.0922998404558</v>
      </c>
      <c r="C10" s="1023">
        <f>SUM(C4:C9)</f>
        <v>4527</v>
      </c>
      <c r="D10" s="1023">
        <f t="shared" ref="D10:H10" si="0">SUM(D8:D9)</f>
        <v>5325.8823529411775</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1075.828235294118</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0.20403917368489655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6467.1428571428569</v>
      </c>
      <c r="D17" s="1022">
        <f>'SEAP template'!D87</f>
        <v>7608.403361344539</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1536.8974789915969</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6467.1428571428569</v>
      </c>
      <c r="D20" s="1023">
        <f t="shared" ref="D20:H20" si="2">SUM(D17:D19)</f>
        <v>7608.403361344539</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1536.8974789915969</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0.20403917368489655</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0.20403917368489655</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0.20403917368489655</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3351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1720.18</v>
      </c>
      <c r="C14" s="326"/>
      <c r="D14" s="326"/>
      <c r="E14" s="326"/>
      <c r="F14" s="326"/>
    </row>
    <row r="15" spans="1:6">
      <c r="A15" s="1298" t="s">
        <v>183</v>
      </c>
      <c r="B15" s="1299">
        <v>28</v>
      </c>
      <c r="C15" s="326"/>
      <c r="D15" s="326"/>
      <c r="E15" s="326"/>
      <c r="F15" s="326"/>
    </row>
    <row r="16" spans="1:6">
      <c r="A16" s="1298" t="s">
        <v>6</v>
      </c>
      <c r="B16" s="1299">
        <v>772</v>
      </c>
      <c r="C16" s="326"/>
      <c r="D16" s="326"/>
      <c r="E16" s="326"/>
      <c r="F16" s="326"/>
    </row>
    <row r="17" spans="1:6">
      <c r="A17" s="1298" t="s">
        <v>7</v>
      </c>
      <c r="B17" s="1299">
        <v>915</v>
      </c>
      <c r="C17" s="326"/>
      <c r="D17" s="326"/>
      <c r="E17" s="326"/>
      <c r="F17" s="326"/>
    </row>
    <row r="18" spans="1:6">
      <c r="A18" s="1298" t="s">
        <v>8</v>
      </c>
      <c r="B18" s="1299">
        <v>1110</v>
      </c>
      <c r="C18" s="326"/>
      <c r="D18" s="326"/>
      <c r="E18" s="326"/>
      <c r="F18" s="326"/>
    </row>
    <row r="19" spans="1:6">
      <c r="A19" s="1298" t="s">
        <v>9</v>
      </c>
      <c r="B19" s="1299">
        <v>1098</v>
      </c>
      <c r="C19" s="326"/>
      <c r="D19" s="326"/>
      <c r="E19" s="326"/>
      <c r="F19" s="326"/>
    </row>
    <row r="20" spans="1:6">
      <c r="A20" s="1298" t="s">
        <v>10</v>
      </c>
      <c r="B20" s="1299">
        <v>554</v>
      </c>
      <c r="C20" s="326"/>
      <c r="D20" s="326"/>
      <c r="E20" s="326"/>
      <c r="F20" s="326"/>
    </row>
    <row r="21" spans="1:6">
      <c r="A21" s="1298" t="s">
        <v>11</v>
      </c>
      <c r="B21" s="1299">
        <v>12458</v>
      </c>
      <c r="C21" s="326"/>
      <c r="D21" s="326"/>
      <c r="E21" s="326"/>
      <c r="F21" s="326"/>
    </row>
    <row r="22" spans="1:6">
      <c r="A22" s="1298" t="s">
        <v>12</v>
      </c>
      <c r="B22" s="1299">
        <v>25977</v>
      </c>
      <c r="C22" s="326"/>
      <c r="D22" s="326"/>
      <c r="E22" s="326"/>
      <c r="F22" s="326"/>
    </row>
    <row r="23" spans="1:6">
      <c r="A23" s="1298" t="s">
        <v>13</v>
      </c>
      <c r="B23" s="1299">
        <v>551</v>
      </c>
      <c r="C23" s="326"/>
      <c r="D23" s="326"/>
      <c r="E23" s="326"/>
      <c r="F23" s="326"/>
    </row>
    <row r="24" spans="1:6">
      <c r="A24" s="1298" t="s">
        <v>14</v>
      </c>
      <c r="B24" s="1299">
        <v>40</v>
      </c>
      <c r="C24" s="326"/>
      <c r="D24" s="326"/>
      <c r="E24" s="326"/>
      <c r="F24" s="326"/>
    </row>
    <row r="25" spans="1:6">
      <c r="A25" s="1298" t="s">
        <v>15</v>
      </c>
      <c r="B25" s="1299">
        <v>3319</v>
      </c>
      <c r="C25" s="326"/>
      <c r="D25" s="326"/>
      <c r="E25" s="326"/>
      <c r="F25" s="326"/>
    </row>
    <row r="26" spans="1:6">
      <c r="A26" s="1298" t="s">
        <v>16</v>
      </c>
      <c r="B26" s="1299">
        <v>86</v>
      </c>
      <c r="C26" s="326"/>
      <c r="D26" s="326"/>
      <c r="E26" s="326"/>
      <c r="F26" s="326"/>
    </row>
    <row r="27" spans="1:6">
      <c r="A27" s="1298" t="s">
        <v>17</v>
      </c>
      <c r="B27" s="1299">
        <v>0</v>
      </c>
      <c r="C27" s="326"/>
      <c r="D27" s="326"/>
      <c r="E27" s="326"/>
      <c r="F27" s="326"/>
    </row>
    <row r="28" spans="1:6" s="43" customFormat="1">
      <c r="A28" s="1300" t="s">
        <v>18</v>
      </c>
      <c r="B28" s="1301">
        <v>174086</v>
      </c>
      <c r="C28" s="332"/>
      <c r="D28" s="332"/>
      <c r="E28" s="332"/>
      <c r="F28" s="332"/>
    </row>
    <row r="29" spans="1:6">
      <c r="A29" s="1300" t="s">
        <v>695</v>
      </c>
      <c r="B29" s="1301">
        <v>99</v>
      </c>
      <c r="C29" s="332"/>
      <c r="D29" s="332"/>
      <c r="E29" s="332"/>
      <c r="F29" s="332"/>
    </row>
    <row r="30" spans="1:6">
      <c r="A30" s="1293" t="s">
        <v>696</v>
      </c>
      <c r="B30" s="1302">
        <v>28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1588</v>
      </c>
      <c r="D39" s="1299">
        <v>23612650.059999999</v>
      </c>
      <c r="E39" s="1299">
        <v>3068</v>
      </c>
      <c r="F39" s="1299">
        <v>11666386.279999999</v>
      </c>
    </row>
    <row r="40" spans="1:6">
      <c r="A40" s="1298" t="s">
        <v>29</v>
      </c>
      <c r="B40" s="1298" t="s">
        <v>28</v>
      </c>
      <c r="C40" s="1299">
        <v>0</v>
      </c>
      <c r="D40" s="1299">
        <v>0</v>
      </c>
      <c r="E40" s="1299">
        <v>0</v>
      </c>
      <c r="F40" s="1299">
        <v>0</v>
      </c>
    </row>
    <row r="41" spans="1:6">
      <c r="A41" s="1298" t="s">
        <v>31</v>
      </c>
      <c r="B41" s="1298" t="s">
        <v>32</v>
      </c>
      <c r="C41" s="1299">
        <v>45</v>
      </c>
      <c r="D41" s="1299">
        <v>779199.95400000003</v>
      </c>
      <c r="E41" s="1299">
        <v>143</v>
      </c>
      <c r="F41" s="1299">
        <v>1599136.7930000001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12</v>
      </c>
      <c r="F44" s="1299">
        <v>311550.02100000001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5</v>
      </c>
      <c r="D47" s="1299">
        <v>142124.65599999999</v>
      </c>
      <c r="E47" s="1299">
        <v>6</v>
      </c>
      <c r="F47" s="1299">
        <v>28331.132000000001</v>
      </c>
    </row>
    <row r="48" spans="1:6">
      <c r="A48" s="1298" t="s">
        <v>31</v>
      </c>
      <c r="B48" s="1298" t="s">
        <v>28</v>
      </c>
      <c r="C48" s="1299">
        <v>16</v>
      </c>
      <c r="D48" s="1299">
        <v>431311.50300000003</v>
      </c>
      <c r="E48" s="1299">
        <v>25</v>
      </c>
      <c r="F48" s="1299">
        <v>9730381.6779999994</v>
      </c>
    </row>
    <row r="49" spans="1:6">
      <c r="A49" s="1298" t="s">
        <v>31</v>
      </c>
      <c r="B49" s="1298" t="s">
        <v>39</v>
      </c>
      <c r="C49" s="1299">
        <v>0</v>
      </c>
      <c r="D49" s="1299">
        <v>0</v>
      </c>
      <c r="E49" s="1299">
        <v>13</v>
      </c>
      <c r="F49" s="1299">
        <v>1266020.7390000001</v>
      </c>
    </row>
    <row r="50" spans="1:6">
      <c r="A50" s="1298" t="s">
        <v>31</v>
      </c>
      <c r="B50" s="1298" t="s">
        <v>40</v>
      </c>
      <c r="C50" s="1299">
        <v>4</v>
      </c>
      <c r="D50" s="1299">
        <v>299985.22399999999</v>
      </c>
      <c r="E50" s="1299">
        <v>6</v>
      </c>
      <c r="F50" s="1299">
        <v>168744.67600000001</v>
      </c>
    </row>
    <row r="51" spans="1:6">
      <c r="A51" s="1298" t="s">
        <v>41</v>
      </c>
      <c r="B51" s="1298" t="s">
        <v>42</v>
      </c>
      <c r="C51" s="1299">
        <v>0</v>
      </c>
      <c r="D51" s="1299">
        <v>0</v>
      </c>
      <c r="E51" s="1299">
        <v>95</v>
      </c>
      <c r="F51" s="1299">
        <v>2626662.9410000001</v>
      </c>
    </row>
    <row r="52" spans="1:6">
      <c r="A52" s="1298" t="s">
        <v>41</v>
      </c>
      <c r="B52" s="1298" t="s">
        <v>28</v>
      </c>
      <c r="C52" s="1299">
        <v>4</v>
      </c>
      <c r="D52" s="1299">
        <v>93031.489000000001</v>
      </c>
      <c r="E52" s="1299">
        <v>11</v>
      </c>
      <c r="F52" s="1299">
        <v>148484.99299999999</v>
      </c>
    </row>
    <row r="53" spans="1:6">
      <c r="A53" s="1298" t="s">
        <v>43</v>
      </c>
      <c r="B53" s="1298" t="s">
        <v>44</v>
      </c>
      <c r="C53" s="1299">
        <v>35</v>
      </c>
      <c r="D53" s="1299">
        <v>560178.68799999997</v>
      </c>
      <c r="E53" s="1299">
        <v>101</v>
      </c>
      <c r="F53" s="1299">
        <v>313530.42800000001</v>
      </c>
    </row>
    <row r="54" spans="1:6">
      <c r="A54" s="1298" t="s">
        <v>45</v>
      </c>
      <c r="B54" s="1298" t="s">
        <v>46</v>
      </c>
      <c r="C54" s="1299">
        <v>0</v>
      </c>
      <c r="D54" s="1299">
        <v>0</v>
      </c>
      <c r="E54" s="1299">
        <v>1</v>
      </c>
      <c r="F54" s="1299">
        <v>620624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10</v>
      </c>
      <c r="D57" s="1299">
        <v>232406.56599999999</v>
      </c>
      <c r="E57" s="1299">
        <v>32</v>
      </c>
      <c r="F57" s="1299">
        <v>986806.13800000004</v>
      </c>
    </row>
    <row r="58" spans="1:6">
      <c r="A58" s="1298" t="s">
        <v>48</v>
      </c>
      <c r="B58" s="1298" t="s">
        <v>50</v>
      </c>
      <c r="C58" s="1299">
        <v>6</v>
      </c>
      <c r="D58" s="1299">
        <v>2334549.1290000002</v>
      </c>
      <c r="E58" s="1299">
        <v>12</v>
      </c>
      <c r="F58" s="1299">
        <v>299488.64199999999</v>
      </c>
    </row>
    <row r="59" spans="1:6">
      <c r="A59" s="1298" t="s">
        <v>48</v>
      </c>
      <c r="B59" s="1298" t="s">
        <v>51</v>
      </c>
      <c r="C59" s="1299">
        <v>6</v>
      </c>
      <c r="D59" s="1299">
        <v>310347.11499999999</v>
      </c>
      <c r="E59" s="1299">
        <v>64</v>
      </c>
      <c r="F59" s="1299">
        <v>1728580.9110000001</v>
      </c>
    </row>
    <row r="60" spans="1:6">
      <c r="A60" s="1298" t="s">
        <v>48</v>
      </c>
      <c r="B60" s="1298" t="s">
        <v>52</v>
      </c>
      <c r="C60" s="1299">
        <v>18</v>
      </c>
      <c r="D60" s="1299">
        <v>677561.94799999997</v>
      </c>
      <c r="E60" s="1299">
        <v>28</v>
      </c>
      <c r="F60" s="1299">
        <v>459360.47</v>
      </c>
    </row>
    <row r="61" spans="1:6">
      <c r="A61" s="1298" t="s">
        <v>48</v>
      </c>
      <c r="B61" s="1298" t="s">
        <v>53</v>
      </c>
      <c r="C61" s="1299">
        <v>78</v>
      </c>
      <c r="D61" s="1299">
        <v>1878832.571</v>
      </c>
      <c r="E61" s="1299">
        <v>184</v>
      </c>
      <c r="F61" s="1299">
        <v>1256711.4909999999</v>
      </c>
    </row>
    <row r="62" spans="1:6">
      <c r="A62" s="1298" t="s">
        <v>48</v>
      </c>
      <c r="B62" s="1298" t="s">
        <v>54</v>
      </c>
      <c r="C62" s="1299">
        <v>6</v>
      </c>
      <c r="D62" s="1299">
        <v>272378.44500000001</v>
      </c>
      <c r="E62" s="1299">
        <v>6</v>
      </c>
      <c r="F62" s="1299">
        <v>54466.326000000001</v>
      </c>
    </row>
    <row r="63" spans="1:6">
      <c r="A63" s="1298" t="s">
        <v>48</v>
      </c>
      <c r="B63" s="1298" t="s">
        <v>28</v>
      </c>
      <c r="C63" s="1299">
        <v>74</v>
      </c>
      <c r="D63" s="1299">
        <v>5029163.2740000002</v>
      </c>
      <c r="E63" s="1299">
        <v>94</v>
      </c>
      <c r="F63" s="1299">
        <v>2525021.1669999999</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4</v>
      </c>
      <c r="F66" s="1299">
        <v>61103.188999999998</v>
      </c>
    </row>
    <row r="67" spans="1:6">
      <c r="A67" s="1300" t="s">
        <v>55</v>
      </c>
      <c r="B67" s="1300" t="s">
        <v>58</v>
      </c>
      <c r="C67" s="1299">
        <v>0</v>
      </c>
      <c r="D67" s="1299">
        <v>0</v>
      </c>
      <c r="E67" s="1299">
        <v>0</v>
      </c>
      <c r="F67" s="1299">
        <v>0</v>
      </c>
    </row>
    <row r="68" spans="1:6">
      <c r="A68" s="1293" t="s">
        <v>55</v>
      </c>
      <c r="B68" s="1293" t="s">
        <v>59</v>
      </c>
      <c r="C68" s="1302">
        <v>3</v>
      </c>
      <c r="D68" s="1302">
        <v>64444.383999999998</v>
      </c>
      <c r="E68" s="1302">
        <v>15</v>
      </c>
      <c r="F68" s="1302">
        <v>89441.156000000003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23562467</v>
      </c>
      <c r="E73" s="446"/>
      <c r="F73" s="326"/>
    </row>
    <row r="74" spans="1:6">
      <c r="A74" s="1298" t="s">
        <v>63</v>
      </c>
      <c r="B74" s="1298" t="s">
        <v>639</v>
      </c>
      <c r="C74" s="1312" t="s">
        <v>641</v>
      </c>
      <c r="D74" s="1313">
        <v>3665971.5</v>
      </c>
      <c r="E74" s="446"/>
      <c r="F74" s="326"/>
    </row>
    <row r="75" spans="1:6">
      <c r="A75" s="1298" t="s">
        <v>64</v>
      </c>
      <c r="B75" s="1298" t="s">
        <v>638</v>
      </c>
      <c r="C75" s="1312" t="s">
        <v>642</v>
      </c>
      <c r="D75" s="1313">
        <v>9919106</v>
      </c>
      <c r="E75" s="446"/>
      <c r="F75" s="326"/>
    </row>
    <row r="76" spans="1:6">
      <c r="A76" s="1298" t="s">
        <v>64</v>
      </c>
      <c r="B76" s="1298" t="s">
        <v>639</v>
      </c>
      <c r="C76" s="1312" t="s">
        <v>643</v>
      </c>
      <c r="D76" s="1313">
        <v>1011440.5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40085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2327.4705894257891</v>
      </c>
      <c r="C91" s="326"/>
      <c r="D91" s="326"/>
      <c r="E91" s="326"/>
      <c r="F91" s="326"/>
    </row>
    <row r="92" spans="1:6">
      <c r="A92" s="1293" t="s">
        <v>68</v>
      </c>
      <c r="B92" s="1294">
        <v>941.6217104146665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645</v>
      </c>
      <c r="C97" s="326"/>
      <c r="D97" s="326"/>
      <c r="E97" s="326"/>
      <c r="F97" s="326"/>
    </row>
    <row r="98" spans="1:6">
      <c r="A98" s="1298" t="s">
        <v>71</v>
      </c>
      <c r="B98" s="1299">
        <v>1</v>
      </c>
      <c r="C98" s="326"/>
      <c r="D98" s="326"/>
      <c r="E98" s="326"/>
      <c r="F98" s="326"/>
    </row>
    <row r="99" spans="1:6">
      <c r="A99" s="1298" t="s">
        <v>72</v>
      </c>
      <c r="B99" s="1299">
        <v>67</v>
      </c>
      <c r="C99" s="326"/>
      <c r="D99" s="326"/>
      <c r="E99" s="326"/>
      <c r="F99" s="326"/>
    </row>
    <row r="100" spans="1:6">
      <c r="A100" s="1298" t="s">
        <v>73</v>
      </c>
      <c r="B100" s="1299">
        <v>257</v>
      </c>
      <c r="C100" s="326"/>
      <c r="D100" s="326"/>
      <c r="E100" s="326"/>
      <c r="F100" s="326"/>
    </row>
    <row r="101" spans="1:6">
      <c r="A101" s="1298" t="s">
        <v>74</v>
      </c>
      <c r="B101" s="1299">
        <v>74</v>
      </c>
      <c r="C101" s="326"/>
      <c r="D101" s="326"/>
      <c r="E101" s="326"/>
      <c r="F101" s="326"/>
    </row>
    <row r="102" spans="1:6">
      <c r="A102" s="1298" t="s">
        <v>75</v>
      </c>
      <c r="B102" s="1299">
        <v>67</v>
      </c>
      <c r="C102" s="326"/>
      <c r="D102" s="326"/>
      <c r="E102" s="326"/>
      <c r="F102" s="326"/>
    </row>
    <row r="103" spans="1:6">
      <c r="A103" s="1298" t="s">
        <v>76</v>
      </c>
      <c r="B103" s="1299">
        <v>73</v>
      </c>
      <c r="C103" s="326"/>
      <c r="D103" s="326"/>
      <c r="E103" s="326"/>
      <c r="F103" s="326"/>
    </row>
    <row r="104" spans="1:6">
      <c r="A104" s="1298" t="s">
        <v>77</v>
      </c>
      <c r="B104" s="1299">
        <v>1713</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27</v>
      </c>
      <c r="C123" s="1299">
        <v>26</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129</v>
      </c>
      <c r="C129" s="326"/>
      <c r="D129" s="326"/>
      <c r="E129" s="326"/>
      <c r="F129" s="326"/>
    </row>
    <row r="130" spans="1:6">
      <c r="A130" s="1298" t="s">
        <v>289</v>
      </c>
      <c r="B130" s="1299">
        <v>2</v>
      </c>
      <c r="C130" s="326"/>
      <c r="D130" s="326"/>
      <c r="E130" s="326"/>
      <c r="F130" s="326"/>
    </row>
    <row r="131" spans="1:6">
      <c r="A131" s="1298" t="s">
        <v>290</v>
      </c>
      <c r="B131" s="1299">
        <v>0</v>
      </c>
      <c r="C131" s="326"/>
      <c r="D131" s="326"/>
      <c r="E131" s="326"/>
      <c r="F131" s="326"/>
    </row>
    <row r="132" spans="1:6">
      <c r="A132" s="1293" t="s">
        <v>291</v>
      </c>
      <c r="B132" s="1294">
        <v>15</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38153.103566326798</v>
      </c>
      <c r="C3" s="43" t="s">
        <v>169</v>
      </c>
      <c r="D3" s="43"/>
      <c r="E3" s="154"/>
      <c r="F3" s="43"/>
      <c r="G3" s="43"/>
      <c r="H3" s="43"/>
      <c r="I3" s="43"/>
      <c r="J3" s="43"/>
      <c r="K3" s="96"/>
    </row>
    <row r="4" spans="1:11">
      <c r="A4" s="354" t="s">
        <v>170</v>
      </c>
      <c r="B4" s="49">
        <f>IF(ISERROR('SEAP template'!B78+'SEAP template'!C78),0,'SEAP template'!B78+'SEAP template'!C78)</f>
        <v>7796.0922998404558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1075.828235294118</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0.20403917368489655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1536.8974789915969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6467.1428571428569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620.62400000000002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620.62400000000002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0.20403917368489655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126.63160812901523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11666.386279999999</v>
      </c>
      <c r="C5" s="17">
        <f>IF(ISERROR('Eigen informatie GS &amp; warmtenet'!B59),0,'Eigen informatie GS &amp; warmtenet'!B59)</f>
        <v>0</v>
      </c>
      <c r="D5" s="30">
        <f>(SUM(HH_hh_gas_kWh,HH_rest_gas_kWh)/1000)*0.902</f>
        <v>21298.610354119999</v>
      </c>
      <c r="E5" s="17">
        <f>B32*B41</f>
        <v>1552.9458301044499</v>
      </c>
      <c r="F5" s="17">
        <f>B36*B45</f>
        <v>25035.556557323544</v>
      </c>
      <c r="G5" s="18"/>
      <c r="H5" s="17"/>
      <c r="I5" s="17"/>
      <c r="J5" s="17">
        <f>B35*B44+C35*C44</f>
        <v>100.01594467495752</v>
      </c>
      <c r="K5" s="17"/>
      <c r="L5" s="17"/>
      <c r="M5" s="17"/>
      <c r="N5" s="17">
        <f>B34*B43+C34*C43</f>
        <v>4853.2881306110739</v>
      </c>
      <c r="O5" s="17">
        <f>B52*B53*B54</f>
        <v>307.51352400498996</v>
      </c>
      <c r="P5" s="17">
        <f>B60*B61*B62/1000-B60*B61*B62/1000/B63</f>
        <v>442.42629092277093</v>
      </c>
    </row>
    <row r="6" spans="1:16">
      <c r="A6" s="16" t="s">
        <v>604</v>
      </c>
      <c r="B6" s="778">
        <f>kWh_PV_kleiner_dan_10kW</f>
        <v>2327.4705894257891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13993.856869425788</v>
      </c>
      <c r="C8" s="21">
        <f>C5</f>
        <v>0</v>
      </c>
      <c r="D8" s="21">
        <f>D5</f>
        <v>21298.610354119999</v>
      </c>
      <c r="E8" s="21">
        <f>E5</f>
        <v>1552.9458301044499</v>
      </c>
      <c r="F8" s="21">
        <f>F5</f>
        <v>25035.556557323544</v>
      </c>
      <c r="G8" s="21"/>
      <c r="H8" s="21"/>
      <c r="I8" s="21"/>
      <c r="J8" s="21">
        <f>J5</f>
        <v>100.01594467495752</v>
      </c>
      <c r="K8" s="21"/>
      <c r="L8" s="21">
        <f>L5</f>
        <v>0</v>
      </c>
      <c r="M8" s="21">
        <f>M5</f>
        <v>0</v>
      </c>
      <c r="N8" s="21">
        <f>N5</f>
        <v>4853.2881306110739</v>
      </c>
      <c r="O8" s="21">
        <f>O5</f>
        <v>307.51352400498996</v>
      </c>
      <c r="P8" s="21">
        <f>P5</f>
        <v>442.42629092277093</v>
      </c>
    </row>
    <row r="9" spans="1:16">
      <c r="B9" s="19"/>
      <c r="C9" s="19"/>
      <c r="D9" s="256"/>
      <c r="E9" s="19"/>
      <c r="F9" s="19"/>
      <c r="G9" s="19"/>
      <c r="H9" s="19"/>
      <c r="I9" s="19"/>
      <c r="J9" s="19"/>
      <c r="K9" s="19"/>
      <c r="L9" s="19"/>
      <c r="M9" s="19"/>
      <c r="N9" s="19"/>
      <c r="O9" s="19"/>
      <c r="P9" s="19"/>
    </row>
    <row r="10" spans="1:16">
      <c r="A10" s="24" t="s">
        <v>213</v>
      </c>
      <c r="B10" s="25">
        <f ca="1">'EF ele_warmte'!B12</f>
        <v>0.20403917368489655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2855.2949923023511</v>
      </c>
      <c r="C12" s="23">
        <f ca="1">C10*C8</f>
        <v>0</v>
      </c>
      <c r="D12" s="23">
        <f>D8*D10</f>
        <v>4302.3192915322397</v>
      </c>
      <c r="E12" s="23">
        <f>E10*E8</f>
        <v>352.51870343371013</v>
      </c>
      <c r="F12" s="23">
        <f>F10*F8</f>
        <v>6684.4936008053864</v>
      </c>
      <c r="G12" s="23"/>
      <c r="H12" s="23"/>
      <c r="I12" s="23"/>
      <c r="J12" s="23">
        <f>J10*J8</f>
        <v>35.405644414934962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3351</v>
      </c>
      <c r="C26" s="36"/>
      <c r="D26" s="226"/>
    </row>
    <row r="27" spans="1:7" s="15" customFormat="1">
      <c r="A27" s="228" t="s">
        <v>806</v>
      </c>
      <c r="B27" s="37">
        <f>SUM(HH_hh_gas_aantal,HH_rest_gas_aantal)</f>
        <v>1588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1508.6</v>
      </c>
      <c r="C31" s="166" t="s">
        <v>110</v>
      </c>
      <c r="D31" s="231"/>
      <c r="G31" s="15"/>
    </row>
    <row r="32" spans="1:7">
      <c r="A32" s="169" t="s">
        <v>72</v>
      </c>
      <c r="B32" s="166">
        <f>IF((B21*($B$26-($B$27-0.05*$B$27)-$B$60))&lt;0,0,B21*($B$26-($B$27-0.05*$B$27)-$B$60))</f>
        <v>28.581707728560033</v>
      </c>
      <c r="C32" s="166" t="s">
        <v>110</v>
      </c>
      <c r="D32" s="231"/>
      <c r="G32" s="15"/>
    </row>
    <row r="33" spans="1:7">
      <c r="A33" s="169" t="s">
        <v>73</v>
      </c>
      <c r="B33" s="166">
        <f>IF((B22*($B$26-($B$27-0.05*$B$27)-$B$60))&lt;0,0,B22*($B$26-($B$27-0.05*$B$27)-$B$60))</f>
        <v>464.11032681834973</v>
      </c>
      <c r="C33" s="166" t="s">
        <v>110</v>
      </c>
      <c r="D33" s="231"/>
      <c r="G33" s="15"/>
    </row>
    <row r="34" spans="1:7">
      <c r="A34" s="169" t="s">
        <v>74</v>
      </c>
      <c r="B34" s="166">
        <f>IF((B24*($B$26-($B$27-0.05*$B$27)-$B$60))&lt;0,0,B24*($B$26-($B$27-0.05*$B$27)-$B$60))</f>
        <v>88.976160590862833</v>
      </c>
      <c r="C34" s="166">
        <f>B26*C24</f>
        <v>686.63980429172955</v>
      </c>
      <c r="D34" s="231"/>
      <c r="G34" s="15"/>
    </row>
    <row r="35" spans="1:7">
      <c r="A35" s="169" t="s">
        <v>76</v>
      </c>
      <c r="B35" s="166">
        <f>IF((B19*($B$26-($B$27-0.05*$B$27)-$B$60))&lt;0,0,B19*($B$26-($B$27-0.05*$B$27)-$B$60))</f>
        <v>12.424400208948716</v>
      </c>
      <c r="C35" s="166">
        <f>B35/2</f>
        <v>6.2122001044743582</v>
      </c>
      <c r="D35" s="232"/>
      <c r="G35" s="15"/>
    </row>
    <row r="36" spans="1:7">
      <c r="A36" s="169" t="s">
        <v>77</v>
      </c>
      <c r="B36" s="166">
        <f>IF((B18*($B$26-($B$27-0.05*$B$27)-$B$60))&lt;0,0,B18*($B$26-($B$27-0.05*$B$27)-$B$60))</f>
        <v>1206.3074046532784</v>
      </c>
      <c r="C36" s="166" t="s">
        <v>110</v>
      </c>
      <c r="D36" s="232"/>
      <c r="G36" s="15"/>
    </row>
    <row r="37" spans="1:7">
      <c r="A37" s="169" t="s">
        <v>78</v>
      </c>
      <c r="B37" s="166">
        <f>B60</f>
        <v>42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155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7310.4351449999995</v>
      </c>
      <c r="C5" s="17">
        <f>IF(ISERROR('Eigen informatie GS &amp; warmtenet'!B60),0,'Eigen informatie GS &amp; warmtenet'!B60)</f>
        <v>0</v>
      </c>
      <c r="D5" s="30">
        <f>SUM(D6:D12)</f>
        <v>9683.185621296001</v>
      </c>
      <c r="E5" s="17">
        <f>SUM(E6:E12)</f>
        <v>97.500304135831016</v>
      </c>
      <c r="F5" s="17">
        <f>SUM(F6:F12)</f>
        <v>848.31907046712865</v>
      </c>
      <c r="G5" s="18"/>
      <c r="H5" s="17"/>
      <c r="I5" s="17"/>
      <c r="J5" s="17">
        <f>SUM(J6:J12)</f>
        <v>2.1591144374437685E-2</v>
      </c>
      <c r="K5" s="17"/>
      <c r="L5" s="17"/>
      <c r="M5" s="17"/>
      <c r="N5" s="17">
        <f>SUM(N6:N12)</f>
        <v>847.90681385528637</v>
      </c>
      <c r="O5" s="17">
        <f>B38*B39*B40</f>
        <v>9.7945215316823084</v>
      </c>
      <c r="P5" s="17">
        <f>B46*B47*B48/1000-B46*B47*B48/1000/B49</f>
        <v>0</v>
      </c>
      <c r="R5" s="32"/>
    </row>
    <row r="6" spans="1:18">
      <c r="A6" s="32" t="s">
        <v>53</v>
      </c>
      <c r="B6" s="37">
        <f>B26</f>
        <v>1256.711491</v>
      </c>
      <c r="C6" s="33"/>
      <c r="D6" s="37">
        <f>IF(ISERROR(TER_kantoor_gas_kWh/1000),0,TER_kantoor_gas_kWh/1000)*0.902</f>
        <v>1694.7069790420001</v>
      </c>
      <c r="E6" s="33">
        <f>$C$26*'E Balans VL '!I12/100/3.6*1000000</f>
        <v>10.112354434628925</v>
      </c>
      <c r="F6" s="33">
        <f>$C$26*('E Balans VL '!L12+'E Balans VL '!N12)/100/3.6*1000000</f>
        <v>153.64619995638253</v>
      </c>
      <c r="G6" s="34"/>
      <c r="H6" s="33"/>
      <c r="I6" s="33"/>
      <c r="J6" s="33">
        <f>$C$26*('E Balans VL '!D12+'E Balans VL '!E12)/100/3.6*1000000</f>
        <v>0</v>
      </c>
      <c r="K6" s="33"/>
      <c r="L6" s="33"/>
      <c r="M6" s="33"/>
      <c r="N6" s="33">
        <f>$C$26*'E Balans VL '!Y12/100/3.6*1000000</f>
        <v>0.67542054006980545</v>
      </c>
      <c r="O6" s="33"/>
      <c r="P6" s="33"/>
      <c r="R6" s="32"/>
    </row>
    <row r="7" spans="1:18">
      <c r="A7" s="32" t="s">
        <v>52</v>
      </c>
      <c r="B7" s="37">
        <f t="shared" ref="B7:B12" si="0">B27</f>
        <v>459.36046999999996</v>
      </c>
      <c r="C7" s="33"/>
      <c r="D7" s="37">
        <f>IF(ISERROR(TER_horeca_gas_kWh/1000),0,TER_horeca_gas_kWh/1000)*0.902</f>
        <v>611.16087709600004</v>
      </c>
      <c r="E7" s="33">
        <f>$C$27*'E Balans VL '!I9/100/3.6*1000000</f>
        <v>4.9324034556905865</v>
      </c>
      <c r="F7" s="33">
        <f>$C$27*('E Balans VL '!L9+'E Balans VL '!N9)/100/3.6*1000000</f>
        <v>55.249925650121945</v>
      </c>
      <c r="G7" s="34"/>
      <c r="H7" s="33"/>
      <c r="I7" s="33"/>
      <c r="J7" s="33">
        <f>$C$27*('E Balans VL '!D9+'E Balans VL '!E9)/100/3.6*1000000</f>
        <v>0</v>
      </c>
      <c r="K7" s="33"/>
      <c r="L7" s="33"/>
      <c r="M7" s="33"/>
      <c r="N7" s="33">
        <f>$C$27*'E Balans VL '!Y9/100/3.6*1000000</f>
        <v>6.8867444608831457E-2</v>
      </c>
      <c r="O7" s="33"/>
      <c r="P7" s="33"/>
      <c r="R7" s="32"/>
    </row>
    <row r="8" spans="1:18">
      <c r="A8" s="6" t="s">
        <v>51</v>
      </c>
      <c r="B8" s="37">
        <f t="shared" si="0"/>
        <v>1728.580911</v>
      </c>
      <c r="C8" s="33"/>
      <c r="D8" s="37">
        <f>IF(ISERROR(TER_handel_gas_kWh/1000),0,TER_handel_gas_kWh/1000)*0.902</f>
        <v>279.93309772999999</v>
      </c>
      <c r="E8" s="33">
        <f>$C$28*'E Balans VL '!I13/100/3.6*1000000</f>
        <v>46.389819652117573</v>
      </c>
      <c r="F8" s="33">
        <f>$C$28*('E Balans VL '!L13+'E Balans VL '!N13)/100/3.6*1000000</f>
        <v>164.95989514679172</v>
      </c>
      <c r="G8" s="34"/>
      <c r="H8" s="33"/>
      <c r="I8" s="33"/>
      <c r="J8" s="33">
        <f>$C$28*('E Balans VL '!D13+'E Balans VL '!E13)/100/3.6*1000000</f>
        <v>0</v>
      </c>
      <c r="K8" s="33"/>
      <c r="L8" s="33"/>
      <c r="M8" s="33"/>
      <c r="N8" s="33">
        <f>$C$28*'E Balans VL '!Y13/100/3.6*1000000</f>
        <v>0.68522912775169276</v>
      </c>
      <c r="O8" s="33"/>
      <c r="P8" s="33"/>
      <c r="R8" s="32"/>
    </row>
    <row r="9" spans="1:18">
      <c r="A9" s="32" t="s">
        <v>50</v>
      </c>
      <c r="B9" s="37">
        <f t="shared" si="0"/>
        <v>299.48864199999997</v>
      </c>
      <c r="C9" s="33"/>
      <c r="D9" s="37">
        <f>IF(ISERROR(TER_gezond_gas_kWh/1000),0,TER_gezond_gas_kWh/1000)*0.902</f>
        <v>2105.7633143580001</v>
      </c>
      <c r="E9" s="33">
        <f>$C$29*'E Balans VL '!I10/100/3.6*1000000</f>
        <v>0.56133923284442566</v>
      </c>
      <c r="F9" s="33">
        <f>$C$29*('E Balans VL '!L10+'E Balans VL '!N10)/100/3.6*1000000</f>
        <v>24.620698995700565</v>
      </c>
      <c r="G9" s="34"/>
      <c r="H9" s="33"/>
      <c r="I9" s="33"/>
      <c r="J9" s="33">
        <f>$C$29*('E Balans VL '!D10+'E Balans VL '!E10)/100/3.6*1000000</f>
        <v>0</v>
      </c>
      <c r="K9" s="33"/>
      <c r="L9" s="33"/>
      <c r="M9" s="33"/>
      <c r="N9" s="33">
        <f>$C$29*'E Balans VL '!Y10/100/3.6*1000000</f>
        <v>2.3302450853938725</v>
      </c>
      <c r="O9" s="33"/>
      <c r="P9" s="33"/>
      <c r="R9" s="32"/>
    </row>
    <row r="10" spans="1:18">
      <c r="A10" s="32" t="s">
        <v>49</v>
      </c>
      <c r="B10" s="37">
        <f t="shared" si="0"/>
        <v>986.80613800000003</v>
      </c>
      <c r="C10" s="33"/>
      <c r="D10" s="37">
        <f>IF(ISERROR(TER_ander_gas_kWh/1000),0,TER_ander_gas_kWh/1000)*0.902</f>
        <v>209.63072253199999</v>
      </c>
      <c r="E10" s="33">
        <f>$C$30*'E Balans VL '!I14/100/3.6*1000000</f>
        <v>1.5211716608790966</v>
      </c>
      <c r="F10" s="33">
        <f>$C$30*('E Balans VL '!L14+'E Balans VL '!N14)/100/3.6*1000000</f>
        <v>153.20192534731191</v>
      </c>
      <c r="G10" s="34"/>
      <c r="H10" s="33"/>
      <c r="I10" s="33"/>
      <c r="J10" s="33">
        <f>$C$30*('E Balans VL '!D14+'E Balans VL '!E14)/100/3.6*1000000</f>
        <v>1.6752074902775763E-2</v>
      </c>
      <c r="K10" s="33"/>
      <c r="L10" s="33"/>
      <c r="M10" s="33"/>
      <c r="N10" s="33">
        <f>$C$30*'E Balans VL '!Y14/100/3.6*1000000</f>
        <v>652.83931400148037</v>
      </c>
      <c r="O10" s="33"/>
      <c r="P10" s="33"/>
      <c r="R10" s="32"/>
    </row>
    <row r="11" spans="1:18">
      <c r="A11" s="32" t="s">
        <v>54</v>
      </c>
      <c r="B11" s="37">
        <f t="shared" si="0"/>
        <v>54.466326000000002</v>
      </c>
      <c r="C11" s="33"/>
      <c r="D11" s="37">
        <f>IF(ISERROR(TER_onderwijs_gas_kWh/1000),0,TER_onderwijs_gas_kWh/1000)*0.902</f>
        <v>245.68535739000001</v>
      </c>
      <c r="E11" s="33">
        <f>$C$31*'E Balans VL '!I11/100/3.6*1000000</f>
        <v>1.3892633210802974</v>
      </c>
      <c r="F11" s="33">
        <f>$C$31*('E Balans VL '!L11+'E Balans VL '!N11)/100/3.6*1000000</f>
        <v>6.5500883580829594</v>
      </c>
      <c r="G11" s="34"/>
      <c r="H11" s="33"/>
      <c r="I11" s="33"/>
      <c r="J11" s="33">
        <f>$C$31*('E Balans VL '!D11+'E Balans VL '!E11)/100/3.6*1000000</f>
        <v>0</v>
      </c>
      <c r="K11" s="33"/>
      <c r="L11" s="33"/>
      <c r="M11" s="33"/>
      <c r="N11" s="33">
        <f>$C$31*'E Balans VL '!Y11/100/3.6*1000000</f>
        <v>0.12113178003419414</v>
      </c>
      <c r="O11" s="33"/>
      <c r="P11" s="33"/>
      <c r="R11" s="32"/>
    </row>
    <row r="12" spans="1:18">
      <c r="A12" s="32" t="s">
        <v>254</v>
      </c>
      <c r="B12" s="37">
        <f t="shared" si="0"/>
        <v>2525.0211669999999</v>
      </c>
      <c r="C12" s="33"/>
      <c r="D12" s="37">
        <f>IF(ISERROR(TER_rest_gas_kWh/1000),0,TER_rest_gas_kWh/1000)*0.902</f>
        <v>4536.3052731480002</v>
      </c>
      <c r="E12" s="33">
        <f>$C$32*'E Balans VL '!I8/100/3.6*1000000</f>
        <v>32.593952378590117</v>
      </c>
      <c r="F12" s="33">
        <f>$C$32*('E Balans VL '!L8+'E Balans VL '!N8)/100/3.6*1000000</f>
        <v>290.09033701273711</v>
      </c>
      <c r="G12" s="34"/>
      <c r="H12" s="33"/>
      <c r="I12" s="33"/>
      <c r="J12" s="33">
        <f>$C$32*('E Balans VL '!D8+'E Balans VL '!E8)/100/3.6*1000000</f>
        <v>4.8390694716619236E-3</v>
      </c>
      <c r="K12" s="33"/>
      <c r="L12" s="33"/>
      <c r="M12" s="33"/>
      <c r="N12" s="33">
        <f>$C$32*'E Balans VL '!Y8/100/3.6*1000000</f>
        <v>191.18660587594761</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7310.4351449999995</v>
      </c>
      <c r="C16" s="21">
        <f t="shared" ca="1" si="1"/>
        <v>0</v>
      </c>
      <c r="D16" s="21">
        <f t="shared" ca="1" si="1"/>
        <v>9683.185621296001</v>
      </c>
      <c r="E16" s="21">
        <f t="shared" si="1"/>
        <v>97.500304135831016</v>
      </c>
      <c r="F16" s="21">
        <f t="shared" ca="1" si="1"/>
        <v>848.31907046712865</v>
      </c>
      <c r="G16" s="21">
        <f t="shared" si="1"/>
        <v>0</v>
      </c>
      <c r="H16" s="21">
        <f t="shared" si="1"/>
        <v>0</v>
      </c>
      <c r="I16" s="21">
        <f t="shared" si="1"/>
        <v>0</v>
      </c>
      <c r="J16" s="21">
        <f t="shared" si="1"/>
        <v>2.1591144374437685E-2</v>
      </c>
      <c r="K16" s="21">
        <f t="shared" si="1"/>
        <v>0</v>
      </c>
      <c r="L16" s="21">
        <f t="shared" ca="1" si="1"/>
        <v>0</v>
      </c>
      <c r="M16" s="21">
        <f t="shared" si="1"/>
        <v>0</v>
      </c>
      <c r="N16" s="21">
        <f t="shared" ca="1" si="1"/>
        <v>847.90681385528637</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0.20403917368489655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1491.6151462628268</v>
      </c>
      <c r="C20" s="23">
        <f t="shared" ref="C20:P20" ca="1" si="2">C16*C18</f>
        <v>0</v>
      </c>
      <c r="D20" s="23">
        <f t="shared" ca="1" si="2"/>
        <v>1956.0034955017923</v>
      </c>
      <c r="E20" s="23">
        <f t="shared" si="2"/>
        <v>22.13256903883364</v>
      </c>
      <c r="F20" s="23">
        <f t="shared" ca="1" si="2"/>
        <v>226.50119181472337</v>
      </c>
      <c r="G20" s="23">
        <f t="shared" si="2"/>
        <v>0</v>
      </c>
      <c r="H20" s="23">
        <f t="shared" si="2"/>
        <v>0</v>
      </c>
      <c r="I20" s="23">
        <f t="shared" si="2"/>
        <v>0</v>
      </c>
      <c r="J20" s="23">
        <f t="shared" si="2"/>
        <v>7.6432651085509406E-3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1256.711491</v>
      </c>
      <c r="C26" s="39">
        <f>IF(ISERROR(B26*3.6/1000000/'E Balans VL '!Z12*100),0,B26*3.6/1000000/'E Balans VL '!Z12*100)</f>
        <v>2.6659984522581778E-2</v>
      </c>
      <c r="D26" s="235" t="s">
        <v>698</v>
      </c>
      <c r="F26" s="6"/>
    </row>
    <row r="27" spans="1:18">
      <c r="A27" s="229" t="s">
        <v>52</v>
      </c>
      <c r="B27" s="33">
        <f>IF(ISERROR(TER_horeca_ele_kWh/1000),0,TER_horeca_ele_kWh/1000)</f>
        <v>459.36046999999996</v>
      </c>
      <c r="C27" s="39">
        <f>IF(ISERROR(B27*3.6/1000000/'E Balans VL '!Z9*100),0,B27*3.6/1000000/'E Balans VL '!Z9*100)</f>
        <v>3.4593912638735791E-2</v>
      </c>
      <c r="D27" s="235" t="s">
        <v>698</v>
      </c>
      <c r="F27" s="6"/>
    </row>
    <row r="28" spans="1:18">
      <c r="A28" s="169" t="s">
        <v>51</v>
      </c>
      <c r="B28" s="33">
        <f>IF(ISERROR(TER_handel_ele_kWh/1000),0,TER_handel_ele_kWh/1000)</f>
        <v>1728.580911</v>
      </c>
      <c r="C28" s="39">
        <f>IF(ISERROR(B28*3.6/1000000/'E Balans VL '!Z13*100),0,B28*3.6/1000000/'E Balans VL '!Z13*100)</f>
        <v>5.017457900629127E-2</v>
      </c>
      <c r="D28" s="235" t="s">
        <v>698</v>
      </c>
      <c r="F28" s="6"/>
    </row>
    <row r="29" spans="1:18">
      <c r="A29" s="229" t="s">
        <v>50</v>
      </c>
      <c r="B29" s="33">
        <f>IF(ISERROR(TER_gezond_ele_kWh/1000),0,TER_gezond_ele_kWh/1000)</f>
        <v>299.48864199999997</v>
      </c>
      <c r="C29" s="39">
        <f>IF(ISERROR(B29*3.6/1000000/'E Balans VL '!Z10*100),0,B29*3.6/1000000/'E Balans VL '!Z10*100)</f>
        <v>3.0203786700452179E-2</v>
      </c>
      <c r="D29" s="235" t="s">
        <v>698</v>
      </c>
      <c r="F29" s="6"/>
    </row>
    <row r="30" spans="1:18">
      <c r="A30" s="229" t="s">
        <v>49</v>
      </c>
      <c r="B30" s="33">
        <f>IF(ISERROR(TER_ander_ele_kWh/1000),0,TER_ander_ele_kWh/1000)</f>
        <v>986.80613800000003</v>
      </c>
      <c r="C30" s="39">
        <f>IF(ISERROR(B30*3.6/1000000/'E Balans VL '!Z14*100),0,B30*3.6/1000000/'E Balans VL '!Z14*100)</f>
        <v>7.1606247816040899E-2</v>
      </c>
      <c r="D30" s="235" t="s">
        <v>698</v>
      </c>
      <c r="F30" s="6"/>
    </row>
    <row r="31" spans="1:18">
      <c r="A31" s="229" t="s">
        <v>54</v>
      </c>
      <c r="B31" s="33">
        <f>IF(ISERROR(TER_onderwijs_ele_kWh/1000),0,TER_onderwijs_ele_kWh/1000)</f>
        <v>54.466326000000002</v>
      </c>
      <c r="C31" s="39">
        <f>IF(ISERROR(B31*3.6/1000000/'E Balans VL '!Z11*100),0,B31*3.6/1000000/'E Balans VL '!Z11*100)</f>
        <v>1.5525120882071544E-2</v>
      </c>
      <c r="D31" s="235" t="s">
        <v>698</v>
      </c>
    </row>
    <row r="32" spans="1:18">
      <c r="A32" s="229" t="s">
        <v>254</v>
      </c>
      <c r="B32" s="33">
        <f>IF(ISERROR(TER_rest_ele_kWh/1000),0,TER_rest_ele_kWh/1000)</f>
        <v>2525.0211669999999</v>
      </c>
      <c r="C32" s="39">
        <f>IF(ISERROR(B32*3.6/1000000/'E Balans VL '!Z8*100),0,B32*3.6/1000000/'E Balans VL '!Z8*100)</f>
        <v>2.0684459077331768E-2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13104.165039</v>
      </c>
      <c r="C5" s="17">
        <f>IF(ISERROR('Eigen informatie GS &amp; warmtenet'!B61),0,'Eigen informatie GS &amp; warmtenet'!B61)</f>
        <v>0</v>
      </c>
      <c r="D5" s="30">
        <f>SUM(D6:D15)</f>
        <v>1490.664445974</v>
      </c>
      <c r="E5" s="17">
        <f>SUM(E6:E15)</f>
        <v>910.05656344259</v>
      </c>
      <c r="F5" s="17">
        <f>SUM(F6:F15)</f>
        <v>3131.3713385749911</v>
      </c>
      <c r="G5" s="18"/>
      <c r="H5" s="17"/>
      <c r="I5" s="17"/>
      <c r="J5" s="17">
        <f>SUM(J6:J15)</f>
        <v>83.797704052596728</v>
      </c>
      <c r="K5" s="17"/>
      <c r="L5" s="17"/>
      <c r="M5" s="17"/>
      <c r="N5" s="17">
        <f>SUM(N6:N15)</f>
        <v>567.98507685643995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311.55002100000002</v>
      </c>
      <c r="C8" s="33"/>
      <c r="D8" s="37">
        <f>IF( ISERROR(IND_metaal_Gas_kWH/1000),0,IND_metaal_Gas_kWH/1000)*0.902</f>
        <v>0</v>
      </c>
      <c r="E8" s="33">
        <f>C30*'E Balans VL '!I18/100/3.6*1000000</f>
        <v>2.2476147352738112</v>
      </c>
      <c r="F8" s="33">
        <f>C30*'E Balans VL '!L18/100/3.6*1000000+C30*'E Balans VL '!N18/100/3.6*1000000</f>
        <v>29.466887406621808</v>
      </c>
      <c r="G8" s="34"/>
      <c r="H8" s="33"/>
      <c r="I8" s="33"/>
      <c r="J8" s="40">
        <f>C30*'E Balans VL '!D18/100/3.6*1000000+C30*'E Balans VL '!E18/100/3.6*1000000</f>
        <v>0.31335882160069539</v>
      </c>
      <c r="K8" s="33"/>
      <c r="L8" s="33"/>
      <c r="M8" s="33"/>
      <c r="N8" s="33">
        <f>C30*'E Balans VL '!Y18/100/3.6*1000000</f>
        <v>3.9388165454173287</v>
      </c>
      <c r="O8" s="33"/>
      <c r="P8" s="33"/>
      <c r="R8" s="32"/>
    </row>
    <row r="9" spans="1:18">
      <c r="A9" s="6" t="s">
        <v>32</v>
      </c>
      <c r="B9" s="37">
        <f t="shared" si="0"/>
        <v>1599.1367930000001</v>
      </c>
      <c r="C9" s="33"/>
      <c r="D9" s="37">
        <f>IF( ISERROR(IND_andere_gas_kWh/1000),0,IND_andere_gas_kWh/1000)*0.902</f>
        <v>702.83835850800006</v>
      </c>
      <c r="E9" s="33">
        <f>C31*'E Balans VL '!I19/100/3.6*1000000</f>
        <v>443.14218847814954</v>
      </c>
      <c r="F9" s="33">
        <f>C31*'E Balans VL '!L19/100/3.6*1000000+C31*'E Balans VL '!N19/100/3.6*1000000</f>
        <v>1325.368029799643</v>
      </c>
      <c r="G9" s="34"/>
      <c r="H9" s="33"/>
      <c r="I9" s="33"/>
      <c r="J9" s="40">
        <f>C31*'E Balans VL '!D19/100/3.6*1000000+C31*'E Balans VL '!E19/100/3.6*1000000</f>
        <v>0</v>
      </c>
      <c r="K9" s="33"/>
      <c r="L9" s="33"/>
      <c r="M9" s="33"/>
      <c r="N9" s="33">
        <f>C31*'E Balans VL '!Y19/100/3.6*1000000</f>
        <v>116.07777161133757</v>
      </c>
      <c r="O9" s="33"/>
      <c r="P9" s="33"/>
      <c r="R9" s="32"/>
    </row>
    <row r="10" spans="1:18">
      <c r="A10" s="6" t="s">
        <v>40</v>
      </c>
      <c r="B10" s="37">
        <f t="shared" si="0"/>
        <v>168.744676</v>
      </c>
      <c r="C10" s="33"/>
      <c r="D10" s="37">
        <f>IF( ISERROR(IND_voed_gas_kWh/1000),0,IND_voed_gas_kWh/1000)*0.902</f>
        <v>270.58667204799997</v>
      </c>
      <c r="E10" s="33">
        <f>C32*'E Balans VL '!I20/100/3.6*1000000</f>
        <v>0.29873523400629132</v>
      </c>
      <c r="F10" s="33">
        <f>C32*'E Balans VL '!L20/100/3.6*1000000+C32*'E Balans VL '!N20/100/3.6*1000000</f>
        <v>9.1137080746479011</v>
      </c>
      <c r="G10" s="34"/>
      <c r="H10" s="33"/>
      <c r="I10" s="33"/>
      <c r="J10" s="40">
        <f>C32*'E Balans VL '!D20/100/3.6*1000000+C32*'E Balans VL '!E20/100/3.6*1000000</f>
        <v>0</v>
      </c>
      <c r="K10" s="33"/>
      <c r="L10" s="33"/>
      <c r="M10" s="33"/>
      <c r="N10" s="33">
        <f>C32*'E Balans VL '!Y20/100/3.6*1000000</f>
        <v>9.8053543947491963</v>
      </c>
      <c r="O10" s="33"/>
      <c r="P10" s="33"/>
      <c r="R10" s="32"/>
    </row>
    <row r="11" spans="1:18">
      <c r="A11" s="6" t="s">
        <v>39</v>
      </c>
      <c r="B11" s="37">
        <f t="shared" si="0"/>
        <v>1266.020739</v>
      </c>
      <c r="C11" s="33"/>
      <c r="D11" s="37">
        <f>IF( ISERROR(IND_textiel_gas_kWh/1000),0,IND_textiel_gas_kWh/1000)*0.902</f>
        <v>0</v>
      </c>
      <c r="E11" s="33">
        <f>C33*'E Balans VL '!I21/100/3.6*1000000</f>
        <v>4.4628545115597467</v>
      </c>
      <c r="F11" s="33">
        <f>C33*'E Balans VL '!L21/100/3.6*1000000+C33*'E Balans VL '!N21/100/3.6*1000000</f>
        <v>37.159601848119699</v>
      </c>
      <c r="G11" s="34"/>
      <c r="H11" s="33"/>
      <c r="I11" s="33"/>
      <c r="J11" s="40">
        <f>C33*'E Balans VL '!D21/100/3.6*1000000+C33*'E Balans VL '!E21/100/3.6*1000000</f>
        <v>0</v>
      </c>
      <c r="K11" s="33"/>
      <c r="L11" s="33"/>
      <c r="M11" s="33"/>
      <c r="N11" s="33">
        <f>C33*'E Balans VL '!Y21/100/3.6*1000000</f>
        <v>55.780692534185199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28.331132</v>
      </c>
      <c r="C13" s="33"/>
      <c r="D13" s="37">
        <f>IF( ISERROR(IND_papier_gas_kWh/1000),0,IND_papier_gas_kWh/1000)*0.902</f>
        <v>128.196439712</v>
      </c>
      <c r="E13" s="33">
        <f>C35*'E Balans VL '!I23/100/3.6*1000000</f>
        <v>4.168482352109483E-2</v>
      </c>
      <c r="F13" s="33">
        <f>C35*'E Balans VL '!L23/100/3.6*1000000+C35*'E Balans VL '!N23/100/3.6*1000000</f>
        <v>0.30335011459655947</v>
      </c>
      <c r="G13" s="34"/>
      <c r="H13" s="33"/>
      <c r="I13" s="33"/>
      <c r="J13" s="40">
        <f>C35*'E Balans VL '!D23/100/3.6*1000000+C35*'E Balans VL '!E23/100/3.6*1000000</f>
        <v>3.0995847134745826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9730.3816779999997</v>
      </c>
      <c r="C15" s="33"/>
      <c r="D15" s="37">
        <f>IF( ISERROR(IND_rest_gas_kWh/1000),0,IND_rest_gas_kWh/1000)*0.902</f>
        <v>389.04297570600005</v>
      </c>
      <c r="E15" s="33">
        <f>C37*'E Balans VL '!I15/100/3.6*1000000</f>
        <v>459.8634856600795</v>
      </c>
      <c r="F15" s="33">
        <f>C37*'E Balans VL '!L15/100/3.6*1000000+C37*'E Balans VL '!N15/100/3.6*1000000</f>
        <v>1729.9597613313622</v>
      </c>
      <c r="G15" s="34"/>
      <c r="H15" s="33"/>
      <c r="I15" s="33"/>
      <c r="J15" s="40">
        <f>C37*'E Balans VL '!D15/100/3.6*1000000+C37*'E Balans VL '!E15/100/3.6*1000000</f>
        <v>80.384760517521457</v>
      </c>
      <c r="K15" s="33"/>
      <c r="L15" s="33"/>
      <c r="M15" s="33"/>
      <c r="N15" s="33">
        <f>C37*'E Balans VL '!Y15/100/3.6*1000000</f>
        <v>382.38244177075063</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13104.165039</v>
      </c>
      <c r="C18" s="21">
        <f>C5+C16</f>
        <v>0</v>
      </c>
      <c r="D18" s="21">
        <f>MAX((D5+D16),0)</f>
        <v>1490.664445974</v>
      </c>
      <c r="E18" s="21">
        <f>MAX((E5+E16),0)</f>
        <v>910.05656344259</v>
      </c>
      <c r="F18" s="21">
        <f>MAX((F5+F16),0)</f>
        <v>3131.3713385749911</v>
      </c>
      <c r="G18" s="21"/>
      <c r="H18" s="21"/>
      <c r="I18" s="21"/>
      <c r="J18" s="21">
        <f>MAX((J5+J16),0)</f>
        <v>83.797704052596728</v>
      </c>
      <c r="K18" s="21"/>
      <c r="L18" s="21">
        <f>MAX((L5+L16),0)</f>
        <v>0</v>
      </c>
      <c r="M18" s="21"/>
      <c r="N18" s="21">
        <f>MAX((N5+N16),0)</f>
        <v>567.98507685643995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0.20403917368489655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2673.7630063880702</v>
      </c>
      <c r="C22" s="23">
        <f ca="1">C18*C20</f>
        <v>0</v>
      </c>
      <c r="D22" s="23">
        <f>D18*D20</f>
        <v>301.11421808674805</v>
      </c>
      <c r="E22" s="23">
        <f>E18*E20</f>
        <v>206.58283990146793</v>
      </c>
      <c r="F22" s="23">
        <f>F18*F20</f>
        <v>836.07614739952271</v>
      </c>
      <c r="G22" s="23"/>
      <c r="H22" s="23"/>
      <c r="I22" s="23"/>
      <c r="J22" s="23">
        <f>J18*J20</f>
        <v>29.664387234619241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311.55002100000002</v>
      </c>
      <c r="C30" s="39">
        <f>IF(ISERROR(B30*3.6/1000000/'E Balans VL '!Z18*100),0,B30*3.6/1000000/'E Balans VL '!Z18*100)</f>
        <v>1.7985296585981331E-2</v>
      </c>
      <c r="D30" s="235" t="s">
        <v>698</v>
      </c>
    </row>
    <row r="31" spans="1:18">
      <c r="A31" s="6" t="s">
        <v>32</v>
      </c>
      <c r="B31" s="37">
        <f>IF( ISERROR(IND_ander_ele_kWh/1000),0,IND_ander_ele_kWh/1000)</f>
        <v>1599.1367930000001</v>
      </c>
      <c r="C31" s="39">
        <f>IF(ISERROR(B31*3.6/1000000/'E Balans VL '!Z19*100),0,B31*3.6/1000000/'E Balans VL '!Z19*100)</f>
        <v>8.0431397286691839E-2</v>
      </c>
      <c r="D31" s="235" t="s">
        <v>698</v>
      </c>
    </row>
    <row r="32" spans="1:18">
      <c r="A32" s="169" t="s">
        <v>40</v>
      </c>
      <c r="B32" s="37">
        <f>IF( ISERROR(IND_voed_ele_kWh/1000),0,IND_voed_ele_kWh/1000)</f>
        <v>168.744676</v>
      </c>
      <c r="C32" s="39">
        <f>IF(ISERROR(B32*3.6/1000000/'E Balans VL '!Z20*100),0,B32*3.6/1000000/'E Balans VL '!Z20*100)</f>
        <v>5.6201997585491725E-3</v>
      </c>
      <c r="D32" s="235" t="s">
        <v>698</v>
      </c>
    </row>
    <row r="33" spans="1:5">
      <c r="A33" s="169" t="s">
        <v>39</v>
      </c>
      <c r="B33" s="37">
        <f>IF( ISERROR(IND_textiel_ele_kWh/1000),0,IND_textiel_ele_kWh/1000)</f>
        <v>1266.020739</v>
      </c>
      <c r="C33" s="39">
        <f>IF(ISERROR(B33*3.6/1000000/'E Balans VL '!Z21*100),0,B33*3.6/1000000/'E Balans VL '!Z21*100)</f>
        <v>0.19738874640236481</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28.331132</v>
      </c>
      <c r="C35" s="39">
        <f>IF(ISERROR(B35*3.6/1000000/'E Balans VL '!Z22*100),0,B35*3.6/1000000/'E Balans VL '!Z22*100)</f>
        <v>5.2847130404647114E-3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9730.3816779999997</v>
      </c>
      <c r="C37" s="39">
        <f>IF(ISERROR(B37*3.6/1000000/'E Balans VL '!Z15*100),0,B37*3.6/1000000/'E Balans VL '!Z15*100)</f>
        <v>7.5923586093657527E-2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2775.1479340000001</v>
      </c>
      <c r="C5" s="17">
        <f>'Eigen informatie GS &amp; warmtenet'!B62</f>
        <v>0</v>
      </c>
      <c r="D5" s="30">
        <f>IF(ISERROR(SUM(LB_lb_gas_kWh,LB_rest_gas_kWh)/1000),0,SUM(LB_lb_gas_kWh,LB_rest_gas_kWh)/1000)*0.902</f>
        <v>83.914403078000007</v>
      </c>
      <c r="E5" s="17">
        <f>B17*'E Balans VL '!I25/3.6*1000000/100</f>
        <v>86.611451889249111</v>
      </c>
      <c r="F5" s="17">
        <f>B17*('E Balans VL '!L25/3.6*1000000+'E Balans VL '!N25/3.6*1000000)/100</f>
        <v>9807.6802213510946</v>
      </c>
      <c r="G5" s="18"/>
      <c r="H5" s="17"/>
      <c r="I5" s="17"/>
      <c r="J5" s="17">
        <f>('E Balans VL '!D25+'E Balans VL '!E25)/3.6*1000000*landbouw!B17/100</f>
        <v>764.57250129925592</v>
      </c>
      <c r="K5" s="17"/>
      <c r="L5" s="17">
        <f>L6*(-1)</f>
        <v>0</v>
      </c>
      <c r="M5" s="17"/>
      <c r="N5" s="17">
        <f>N6*(-1)</f>
        <v>0</v>
      </c>
      <c r="O5" s="17"/>
      <c r="P5" s="17"/>
      <c r="R5" s="32"/>
    </row>
    <row r="6" spans="1:18">
      <c r="A6" s="16" t="s">
        <v>471</v>
      </c>
      <c r="B6" s="17" t="s">
        <v>210</v>
      </c>
      <c r="C6" s="17">
        <f>'lokale energieproductie'!O39+'lokale energieproductie'!O32</f>
        <v>6467.1428571428569</v>
      </c>
      <c r="D6" s="304">
        <f>('lokale energieproductie'!P32+'lokale energieproductie'!P39)*(-1)</f>
        <v>-12934.285714285716</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2775.1479340000001</v>
      </c>
      <c r="C8" s="21">
        <f>C5+C6</f>
        <v>6467.1428571428569</v>
      </c>
      <c r="D8" s="21">
        <f>MAX((D5+D6),0)</f>
        <v>0</v>
      </c>
      <c r="E8" s="21">
        <f>MAX((E5+E6),0)</f>
        <v>86.611451889249111</v>
      </c>
      <c r="F8" s="21">
        <f>MAX((F5+F6),0)</f>
        <v>9807.6802213510946</v>
      </c>
      <c r="G8" s="21"/>
      <c r="H8" s="21"/>
      <c r="I8" s="21"/>
      <c r="J8" s="21">
        <f>MAX((J5+J6),0)</f>
        <v>764.57250129925592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0.20403917368489655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566.23889130670784</v>
      </c>
      <c r="C12" s="23">
        <f ca="1">C8*C10</f>
        <v>1536.8974789915969</v>
      </c>
      <c r="D12" s="23">
        <f>D8*D10</f>
        <v>0</v>
      </c>
      <c r="E12" s="23">
        <f>E8*E10</f>
        <v>19.66079957885955</v>
      </c>
      <c r="F12" s="23">
        <f>F8*F10</f>
        <v>2618.6506191007425</v>
      </c>
      <c r="G12" s="23"/>
      <c r="H12" s="23"/>
      <c r="I12" s="23"/>
      <c r="J12" s="23">
        <f>J8*J10</f>
        <v>270.65866545993657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0.41254563453390752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341.29128483148969</v>
      </c>
      <c r="C26" s="245">
        <f>B26*'GWP N2O_CH4'!B5</f>
        <v>7167.1169814612831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229.90340211256631</v>
      </c>
      <c r="C27" s="245">
        <f>B27*'GWP N2O_CH4'!B5</f>
        <v>4827.9714443638923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5.5180158460664792</v>
      </c>
      <c r="C28" s="245">
        <f>B28*'GWP N2O_CH4'!B4</f>
        <v>1710.5849122806085</v>
      </c>
      <c r="D28" s="50"/>
    </row>
    <row r="29" spans="1:4">
      <c r="A29" s="41" t="s">
        <v>271</v>
      </c>
      <c r="B29" s="245">
        <f>B34*'ha_N2O bodem landbouw'!B4</f>
        <v>11.614412178625141</v>
      </c>
      <c r="C29" s="245">
        <f>B29*'GWP N2O_CH4'!B4</f>
        <v>3600.4677753737938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2.54683147798308E-3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1.2044812379167541E-4</v>
      </c>
      <c r="C5" s="433" t="s">
        <v>210</v>
      </c>
      <c r="D5" s="418">
        <f>SUM(D6:D11)</f>
        <v>2.2138840022500265E-4</v>
      </c>
      <c r="E5" s="418">
        <f>SUM(E6:E11)</f>
        <v>1.9059275725769596E-4</v>
      </c>
      <c r="F5" s="431" t="s">
        <v>210</v>
      </c>
      <c r="G5" s="418">
        <f>SUM(G6:G11)</f>
        <v>0.10481992737986227</v>
      </c>
      <c r="H5" s="418">
        <f>SUM(H6:H11)</f>
        <v>1.9629120144149973E-2</v>
      </c>
      <c r="I5" s="433" t="s">
        <v>210</v>
      </c>
      <c r="J5" s="433" t="s">
        <v>210</v>
      </c>
      <c r="K5" s="433" t="s">
        <v>210</v>
      </c>
      <c r="L5" s="433" t="s">
        <v>210</v>
      </c>
      <c r="M5" s="418">
        <f>SUM(M6:M11)</f>
        <v>7.3416519925011822E-3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7.6444586995529659E-5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1.2904589598036141E-4</v>
      </c>
      <c r="E6" s="884">
        <f>vkm_GW_PW*SUMIFS(TableVerdeelsleutelVkm[LPG],TableVerdeelsleutelVkm[Voertuigtype],"Lichte voertuigen")*SUMIFS(TableECFTransport[EnergieConsumptieFactor (PJ per km)],TableECFTransport[Index],CONCATENATE($A6,"_LPG_LPG"))</f>
        <v>1.1307936090298162E-4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3.5323796150907694E-2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1.1510915786807083E-2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2.7982730411743131E-3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9.1142172928756537E-7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3.4786418677631499E-2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4.8354237121906948E-7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2.0051719611160089E-3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4.2840654069525961E-5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9.2342504244641258E-5</v>
      </c>
      <c r="E8" s="421">
        <f>vkm_NGW_PW*SUMIFS(TableVerdeelsleutelVkm[LPG],TableVerdeelsleutelVkm[Voertuigtype],"Lichte voertuigen")*SUMIFS(TableECFTransport[EnergieConsumptieFactor (PJ per km)],TableECFTransport[Index],CONCATENATE($A8,"_LPG_LPG"))</f>
        <v>7.751339635471435E-5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2.237130334913973E-2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8.1175597866607902E-3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1.8269924133647024E-3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2.5146099733221598E-7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1.2338409202183362E-2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1.6102831087981576E-7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7.1121457684615759E-4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33.45781216435428</v>
      </c>
      <c r="C14" s="21"/>
      <c r="D14" s="21">
        <f t="shared" ref="D14:M14" si="0">((D5)*10^9/3600)+D12</f>
        <v>61.496777840278511</v>
      </c>
      <c r="E14" s="21">
        <f t="shared" si="0"/>
        <v>52.942432571582209</v>
      </c>
      <c r="F14" s="21"/>
      <c r="G14" s="21">
        <f t="shared" si="0"/>
        <v>29116.646494406188</v>
      </c>
      <c r="H14" s="21">
        <f t="shared" si="0"/>
        <v>5452.5333733749931</v>
      </c>
      <c r="I14" s="21"/>
      <c r="J14" s="21"/>
      <c r="K14" s="21"/>
      <c r="L14" s="21"/>
      <c r="M14" s="21">
        <f t="shared" si="0"/>
        <v>2039.347775694773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0.20403917368489655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6.8267043473193274</v>
      </c>
      <c r="C18" s="23"/>
      <c r="D18" s="23">
        <f t="shared" ref="D18:M18" si="1">D14*D16</f>
        <v>12.422349123736261</v>
      </c>
      <c r="E18" s="23">
        <f t="shared" si="1"/>
        <v>12.017932193749163</v>
      </c>
      <c r="F18" s="23"/>
      <c r="G18" s="23">
        <f t="shared" si="1"/>
        <v>7774.1446140064527</v>
      </c>
      <c r="H18" s="23">
        <f t="shared" si="1"/>
        <v>1357.6808099703733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6.7908194519658486E-6</v>
      </c>
      <c r="C50" s="315">
        <f t="shared" ref="C50:P50" si="2">SUM(C51:C52)</f>
        <v>0</v>
      </c>
      <c r="D50" s="315">
        <f t="shared" si="2"/>
        <v>0</v>
      </c>
      <c r="E50" s="315">
        <f t="shared" si="2"/>
        <v>0</v>
      </c>
      <c r="F50" s="315">
        <f t="shared" si="2"/>
        <v>0</v>
      </c>
      <c r="G50" s="315">
        <f t="shared" si="2"/>
        <v>4.9200509713325684E-4</v>
      </c>
      <c r="H50" s="315">
        <f t="shared" si="2"/>
        <v>0</v>
      </c>
      <c r="I50" s="315">
        <f t="shared" si="2"/>
        <v>0</v>
      </c>
      <c r="J50" s="315">
        <f t="shared" si="2"/>
        <v>0</v>
      </c>
      <c r="K50" s="315">
        <f t="shared" si="2"/>
        <v>0</v>
      </c>
      <c r="L50" s="315">
        <f t="shared" si="2"/>
        <v>0</v>
      </c>
      <c r="M50" s="315">
        <f t="shared" si="2"/>
        <v>2.7829273485551545E-5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6.7908194519658486E-6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4.9200509713325684E-4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2.7829273485551545E-5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1.88633873665718</v>
      </c>
      <c r="C54" s="21">
        <f t="shared" ref="C54:P54" si="3">(C50)*10^9/3600</f>
        <v>0</v>
      </c>
      <c r="D54" s="21">
        <f t="shared" si="3"/>
        <v>0</v>
      </c>
      <c r="E54" s="21">
        <f t="shared" si="3"/>
        <v>0</v>
      </c>
      <c r="F54" s="21">
        <f t="shared" si="3"/>
        <v>0</v>
      </c>
      <c r="G54" s="21">
        <f t="shared" si="3"/>
        <v>136.66808253701578</v>
      </c>
      <c r="H54" s="21">
        <f t="shared" si="3"/>
        <v>0</v>
      </c>
      <c r="I54" s="21">
        <f t="shared" si="3"/>
        <v>0</v>
      </c>
      <c r="J54" s="21">
        <f t="shared" si="3"/>
        <v>0</v>
      </c>
      <c r="K54" s="21">
        <f t="shared" si="3"/>
        <v>0</v>
      </c>
      <c r="L54" s="21">
        <f t="shared" si="3"/>
        <v>0</v>
      </c>
      <c r="M54" s="21">
        <f t="shared" si="3"/>
        <v>7.7303537459865401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0.20403917368489655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0.3848869971173427</v>
      </c>
      <c r="C58" s="23">
        <f t="shared" ref="C58:P58" ca="1" si="4">C54*C56</f>
        <v>0</v>
      </c>
      <c r="D58" s="23">
        <f t="shared" si="4"/>
        <v>0</v>
      </c>
      <c r="E58" s="23">
        <f t="shared" si="4"/>
        <v>0</v>
      </c>
      <c r="F58" s="23">
        <f t="shared" si="4"/>
        <v>0</v>
      </c>
      <c r="G58" s="23">
        <f t="shared" si="4"/>
        <v>36.490378037383216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3269.0922998404558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4527</v>
      </c>
      <c r="C8" s="543">
        <f>B48</f>
        <v>5325.8823529411775</v>
      </c>
      <c r="D8" s="544"/>
      <c r="E8" s="544">
        <f>E48</f>
        <v>0</v>
      </c>
      <c r="F8" s="545"/>
      <c r="G8" s="546"/>
      <c r="H8" s="544">
        <f>I48</f>
        <v>0</v>
      </c>
      <c r="I8" s="544">
        <f>G48+F48</f>
        <v>0</v>
      </c>
      <c r="J8" s="544">
        <f>H48+D48+C48</f>
        <v>0</v>
      </c>
      <c r="K8" s="544"/>
      <c r="L8" s="544"/>
      <c r="M8" s="544"/>
      <c r="N8" s="547"/>
      <c r="O8" s="548">
        <f>C8*$C$12+D8*$D$12+E8*$E$12+F8*$F$12+G8*$G$12+H8*$H$12+I8*$I$12+J8*$J$12</f>
        <v>1075.828235294118</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7796.0922998404558</v>
      </c>
      <c r="C10" s="558">
        <f t="shared" ref="C10:L10" si="0">SUM(C8:C9)</f>
        <v>5325.8823529411775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1075.828235294118</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6467.1428571428569</v>
      </c>
      <c r="C17" s="574">
        <f>B49</f>
        <v>7608.403361344539</v>
      </c>
      <c r="D17" s="575"/>
      <c r="E17" s="575">
        <f>E49</f>
        <v>0</v>
      </c>
      <c r="F17" s="576"/>
      <c r="G17" s="577"/>
      <c r="H17" s="574">
        <f>I49</f>
        <v>0</v>
      </c>
      <c r="I17" s="575">
        <f>G49+F49</f>
        <v>0</v>
      </c>
      <c r="J17" s="575">
        <f>H49+D49+C49</f>
        <v>0</v>
      </c>
      <c r="K17" s="575"/>
      <c r="L17" s="575"/>
      <c r="M17" s="575"/>
      <c r="N17" s="966"/>
      <c r="O17" s="578">
        <f>C17*$C$22+E17*$E$22+H17*$H$22+I17*$I$22+J17*$J$22+D17*$D$22+F17*$F$22+G17*$G$22+K17*$K$22+L17*$L$22</f>
        <v>1536.8974789915969</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6467.1428571428569</v>
      </c>
      <c r="C20" s="557">
        <f>SUM(C17:C19)</f>
        <v>7608.403361344539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1536.8974789915969</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37002</v>
      </c>
      <c r="C28" s="785">
        <v>8720</v>
      </c>
      <c r="D28" s="635" t="s">
        <v>906</v>
      </c>
      <c r="E28" s="634" t="s">
        <v>907</v>
      </c>
      <c r="F28" s="634" t="s">
        <v>908</v>
      </c>
      <c r="G28" s="634" t="s">
        <v>909</v>
      </c>
      <c r="H28" s="634" t="s">
        <v>910</v>
      </c>
      <c r="I28" s="634" t="s">
        <v>911</v>
      </c>
      <c r="J28" s="784">
        <v>39827</v>
      </c>
      <c r="K28" s="784">
        <v>39827</v>
      </c>
      <c r="L28" s="634" t="s">
        <v>912</v>
      </c>
      <c r="M28" s="634">
        <v>1006</v>
      </c>
      <c r="N28" s="634">
        <v>4527</v>
      </c>
      <c r="O28" s="634">
        <v>6467.1428571428569</v>
      </c>
      <c r="P28" s="634">
        <v>12934.285714285716</v>
      </c>
      <c r="Q28" s="634">
        <v>0</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1006</v>
      </c>
      <c r="N29" s="592">
        <f>SUM(N28:N28)</f>
        <v>4527</v>
      </c>
      <c r="O29" s="592">
        <f>SUM(O28:O28)</f>
        <v>6467.1428571428569</v>
      </c>
      <c r="P29" s="592">
        <f>SUM(P28:P28)</f>
        <v>12934.285714285716</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1006</v>
      </c>
      <c r="N32" s="597">
        <f>SUMIF($Z$28:$Z$28,"landbouw",N28:N28)</f>
        <v>4527</v>
      </c>
      <c r="O32" s="597">
        <f>SUMIF($Z$28:$Z$28,"landbouw",O28:O28)</f>
        <v>6467.1428571428569</v>
      </c>
      <c r="P32" s="597">
        <f>SUMIF($Z$28:$Z$28,"landbouw",P28:P28)</f>
        <v>12934.285714285716</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0.41176470588235298</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5325.8823529411775</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7608.403361344539</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2021-06-29T15:29:15Z</dcterms:modified>
</cp:coreProperties>
</file>