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<sst xmlns="http://schemas.openxmlformats.org/spreadsheetml/2006/main" count="2528" uniqueCount="926">
  <si>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</si>
  <si>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</si>
  <si>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</si>
  <si>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</si>
  <si>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</si>
  <si>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</si>
  <si>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</si>
  <si>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</si>
  <si>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</si>
  <si>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</si>
  <si>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</si>
  <si>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</si>
  <si>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</si>
  <si>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</si>
  <si>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</si>
  <si>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</si>
  <si>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</si>
  <si>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</si>
  <si>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</si>
  <si>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</si>
  <si>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</si>
  <si>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</si>
  <si>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</si>
  <si>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</si>
  <si>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</si>
  <si>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</si>
  <si>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</si>
  <si>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</si>
  <si>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</si>
  <si>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</si>
  <si>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</si>
  <si>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</si>
  <si>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</si>
  <si>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</si>
  <si>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</si>
  <si>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</si>
  <si>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</si>
  <si>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</si>
  <si>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</si>
  <si>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</si>
  <si>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</si>
  <si>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</si>
  <si>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</si>
  <si>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</si>
  <si>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</si>
  <si>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</si>
  <si>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</si>
  <si>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</si>
  <si>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</si>
  <si>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</si>
  <si>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</si>
  <si>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</si>
  <si>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</si>
  <si>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</si>
  <si>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</si>
  <si>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</si>
  <si>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</si>
  <si>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</si>
  <si>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</si>
  <si>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</si>
  <si>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</si>
  <si>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</si>
  <si>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</si>
  <si>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</si>
  <si>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</si>
  <si>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</si>
  <si>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</si>
  <si>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</si>
  <si>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</si>
  <si>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</si>
  <si>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</si>
  <si>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</si>
  <si>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</si>
  <si>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</si>
  <si>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</si>
  <si>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</si>
  <si>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</si>
  <si>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</si>
  <si>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</si>
  <si>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</si>
  <si>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</si>
  <si>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</si>
  <si>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</si>
  <si>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</si>
  <si>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</si>
  <si>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</si>
  <si>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</si>
  <si>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</si>
  <si>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</si>
  <si>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</si>
  <si>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</si>
  <si>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</si>
  <si>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</si>
  <si>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</si>
  <si>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</si>
  <si>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</si>
  <si>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</si>
  <si>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</si>
  <si>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</si>
  <si>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</si>
  <si>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</si>
  <si>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</si>
  <si>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</si>
  <si>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</si>
  <si>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</si>
  <si>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</si>
  <si>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</si>
  <si>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</si>
  <si>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</si>
  <si>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</si>
  <si>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</si>
  <si>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</si>
  <si>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</si>
  <si>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</si>
  <si>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</si>
  <si>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</si>
  <si>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</si>
  <si>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</si>
  <si>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</si>
  <si>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</si>
  <si>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</si>
  <si>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</si>
  <si>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</si>
  <si>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</si>
  <si>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</si>
  <si>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</si>
  <si>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</si>
  <si>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</si>
  <si>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</si>
  <si>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</si>
  <si>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</si>
  <si>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</si>
  <si>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</si>
  <si>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</si>
  <si>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</si>
  <si>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</si>
  <si>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</si>
  <si>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</si>
  <si>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</si>
  <si>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</si>
  <si>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</si>
  <si>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</si>
  <si>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</si>
  <si>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</si>
  <si>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</si>
  <si>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</si>
  <si>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</si>
  <si>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</si>
  <si>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</si>
  <si>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</si>
  <si>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</si>
  <si>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</si>
  <si>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</si>
  <si>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</si>
  <si>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</si>
  <si>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</si>
  <si>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</si>
  <si>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</si>
  <si>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</si>
  <si>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</si>
  <si>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</si>
  <si>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</si>
  <si>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</si>
  <si>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</si>
  <si>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</si>
  <si>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</si>
  <si>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</si>
  <si>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</si>
  <si>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</si>
  <si>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</si>
  <si>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</si>
  <si>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</si>
  <si>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</si>
  <si>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</si>
  <si>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</si>
  <si>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</si>
  <si>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</si>
  <si>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</si>
  <si>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</si>
  <si>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</si>
  <si>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</si>
  <si>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</si>
  <si>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</si>
  <si>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</si>
  <si>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</si>
  <si>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</si>
  <si>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</si>
  <si>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</si>
  <si>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</si>
  <si>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</si>
  <si>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</si>
  <si>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</si>
  <si>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</si>
  <si>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</si>
  <si>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</si>
  <si>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</si>
  <si>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</si>
  <si>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</si>
  <si>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</si>
  <si>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</si>
  <si>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</si>
  <si>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</si>
  <si>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</si>
  <si>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</si>
  <si>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</si>
  <si>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</si>
  <si>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</si>
  <si>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</si>
  <si>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</si>
  <si>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</si>
  <si>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</si>
  <si>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</si>
  <si>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</si>
  <si>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</si>
  <si>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</si>
  <si>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</si>
  <si>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</si>
  <si>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</si>
  <si>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</si>
  <si>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</si>
  <si>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</si>
  <si>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</si>
  <si>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</si>
  <si>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</si>
  <si>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</si>
  <si>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</si>
  <si>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</si>
  <si>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</si>
  <si>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</si>
  <si>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</si>
  <si>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</si>
  <si>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</si>
  <si>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</si>
  <si>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</si>
  <si>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</si>
  <si>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</si>
  <si>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</si>
  <si>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</si>
  <si>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</si>
  <si>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</si>
  <si>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</si>
  <si>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</si>
  <si>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</si>
  <si>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</si>
  <si>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</si>
  <si>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</si>
  <si>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</si>
  <si>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</si>
  <si>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</si>
  <si>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</si>
  <si>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</si>
  <si>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</si>
  <si>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</si>
  <si>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</si>
  <si>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</si>
  <si>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</si>
  <si>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</si>
  <si>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</si>
  <si>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</si>
  <si>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</si>
  <si>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</si>
  <si>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</si>
  <si>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</si>
  <si>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</si>
  <si>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</si>
  <si>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</si>
  <si>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</si>
  <si>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</si>
  <si>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</si>
  <si>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</si>
  <si>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</si>
  <si>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</si>
  <si>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</si>
  <si>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</si>
  <si>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</si>
  <si>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</si>
  <si>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</si>
  <si>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</si>
  <si>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</si>
  <si>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</si>
  <si>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</si>
  <si>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</si>
  <si>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</si>
  <si>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</si>
  <si>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</si>
  <si>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</si>
  <si>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</si>
  <si>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</si>
  <si>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</si>
  <si>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</si>
  <si>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</si>
  <si>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</si>
  <si>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</si>
  <si>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</si>
  <si>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</si>
  <si>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</si>
  <si>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</si>
  <si>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</si>
  <si>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</si>
  <si>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</si>
  <si>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</si>
  <si>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</si>
  <si>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</si>
  <si>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</si>
  <si>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</si>
  <si>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</si>
  <si>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</si>
  <si>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</si>
  <si>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</si>
  <si>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</si>
  <si>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</si>
  <si>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</si>
  <si>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</si>
  <si>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</si>
  <si>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</si>
  <si>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</si>
  <si>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</si>
  <si>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</si>
  <si>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</si>
  <si>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</si>
  <si>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</si>
  <si>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</si>
  <si>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</si>
  <si>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</si>
  <si>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</si>
  <si>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</si>
  <si>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</si>
  <si>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</si>
  <si>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</si>
  <si>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</si>
  <si>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</si>
  <si>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</si>
  <si>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</si>
  <si>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</si>
  <si>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</si>
  <si>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</si>
  <si>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</si>
  <si>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</si>
  <si>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</si>
  <si>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</si>
  <si>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</si>
  <si>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</si>
  <si>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</si>
  <si>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</si>
  <si>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</si>
  <si>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</si>
  <si>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</si>
  <si>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</si>
  <si>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</si>
  <si>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</si>
  <si>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</si>
  <si>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</si>
  <si>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</si>
  <si>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</si>
  <si>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</si>
  <si>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</si>
  <si>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</si>
  <si>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</si>
  <si>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</si>
  <si>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</si>
  <si>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</si>
  <si>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</si>
  <si>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</si>
  <si>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</si>
  <si>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</si>
  <si>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</si>
  <si>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</si>
  <si>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</si>
  <si>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</si>
  <si>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</si>
  <si>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</si>
  <si>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</si>
  <si>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</si>
  <si>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</si>
  <si>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</si>
  <si>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</si>
  <si>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</si>
  <si>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</si>
  <si>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</si>
  <si>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</si>
  <si>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</si>
  <si>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</si>
  <si>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</si>
  <si>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</si>
  <si>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</si>
  <si>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</si>
  <si>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</si>
  <si>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</si>
  <si>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</si>
  <si>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</si>
  <si>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</si>
  <si>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</si>
  <si>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</si>
  <si>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</si>
  <si>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</si>
  <si>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</si>
  <si>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</si>
  <si>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</si>
  <si>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</si>
  <si>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</si>
  <si>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</si>
  <si>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</si>
  <si>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</si>
  <si>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</si>
  <si>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</si>
  <si>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</si>
  <si>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</si>
  <si>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</si>
  <si>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</si>
  <si>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</si>
  <si>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</si>
  <si>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</si>
  <si>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</si>
  <si>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</si>
  <si>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</si>
  <si>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</si>
  <si>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</si>
  <si>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</si>
  <si>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</si>
  <si>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</si>
  <si>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</si>
  <si>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</si>
  <si>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</si>
  <si>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</si>
  <si>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</si>
  <si>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</si>
  <si>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</si>
  <si>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</si>
  <si>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</si>
  <si>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</si>
  <si>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</si>
  <si>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</si>
  <si>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</si>
  <si>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</si>
  <si>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</si>
  <si>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</si>
  <si>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</si>
  <si>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</si>
  <si>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</si>
  <si>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</si>
  <si>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</si>
  <si>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</si>
  <si>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</si>
  <si>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</si>
  <si>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</si>
  <si>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</si>
  <si>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</si>
  <si>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</si>
  <si>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</si>
  <si>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</si>
  <si>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</si>
  <si>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</si>
  <si>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</si>
  <si>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</si>
  <si>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</si>
  <si>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</si>
  <si>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</si>
  <si>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</si>
  <si>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</si>
  <si>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</si>
  <si>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</si>
  <si>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</si>
  <si>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</si>
  <si>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</si>
  <si>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</si>
  <si>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</si>
  <si>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</si>
  <si>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</si>
  <si>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</si>
  <si>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</si>
  <si>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</si>
  <si>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</si>
  <si>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</si>
  <si>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</si>
  <si>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</si>
  <si>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</si>
  <si>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</si>
  <si>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</si>
  <si>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</si>
  <si>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</si>
  <si>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</si>
  <si>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</si>
  <si>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</si>
  <si>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</si>
  <si>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</si>
  <si>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</si>
  <si>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</si>
  <si>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</si>
  <si>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</si>
  <si>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</si>
  <si>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</si>
  <si>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</si>
  <si>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</si>
  <si>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</si>
  <si>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</si>
  <si>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</si>
  <si>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</si>
  <si>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</si>
  <si>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</si>
  <si>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</si>
  <si>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</si>
  <si>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</si>
  <si>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</si>
  <si>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</si>
  <si>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</si>
  <si>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</si>
  <si>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</si>
  <si>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</si>
  <si>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</si>
  <si>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</si>
  <si>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</si>
  <si>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</si>
  <si>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</si>
  <si>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</si>
  <si>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</si>
  <si>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</si>
  <si>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</si>
  <si>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</si>
  <si>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</si>
  <si>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</si>
  <si>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</si>
  <si>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</si>
  <si>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</si>
  <si>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</si>
  <si>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</si>
  <si>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</si>
  <si>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</si>
  <si>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</si>
  <si>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</si>
  <si>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</si>
  <si>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</si>
  <si>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</si>
  <si>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</si>
  <si>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</si>
  <si>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</si>
  <si>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</si>
  <si>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</si>
  <si>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</si>
  <si>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</si>
  <si>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</si>
  <si>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</si>
  <si>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</si>
  <si>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</si>
  <si>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</si>
  <si>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</si>
  <si>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</si>
  <si>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</si>
  <si>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</si>
  <si>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</si>
  <si>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</si>
  <si>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</si>
  <si>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</si>
  <si>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</si>
  <si>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</si>
  <si>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</si>
  <si>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</si>
  <si>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</si>
  <si>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</si>
  <si>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</si>
  <si>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</si>
  <si>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</si>
  <si>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</si>
  <si>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</si>
  <si>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</si>
  <si>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</si>
  <si>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</si>
  <si>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</si>
  <si>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</si>
  <si>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</si>
  <si>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</si>
  <si>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</si>
  <si>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</si>
  <si>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</si>
  <si>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</si>
  <si>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</si>
  <si>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</si>
  <si>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</si>
  <si>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</si>
  <si>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</si>
  <si>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</si>
  <si>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</si>
  <si>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</si>
  <si>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</si>
  <si>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</si>
  <si>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</si>
  <si>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</si>
  <si>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</si>
  <si>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</si>
  <si>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</si>
  <si>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</si>
  <si>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</si>
  <si>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</si>
  <si>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</si>
  <si>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</si>
  <si>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</si>
  <si>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</si>
  <si>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</si>
  <si>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</si>
  <si>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</si>
  <si>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</si>
  <si>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</si>
  <si>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</si>
  <si>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</si>
  <si>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</si>
  <si>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</si>
  <si>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</si>
  <si>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</si>
  <si>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</si>
  <si>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</si>
  <si>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</si>
  <si>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</si>
  <si>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</si>
  <si>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</si>
  <si>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</si>
  <si>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</si>
  <si>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</si>
  <si>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</si>
  <si>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</si>
  <si>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</si>
  <si>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</si>
  <si>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</si>
  <si>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</si>
  <si>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</si>
  <si>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</si>
  <si>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</si>
  <si>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</si>
  <si>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</si>
  <si>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</si>
  <si>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</si>
  <si>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</si>
  <si>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</si>
  <si>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</si>
  <si>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</si>
  <si>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</si>
  <si>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</si>
  <si>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</si>
  <si>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</si>
  <si>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</si>
  <si>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</si>
  <si>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</si>
  <si>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</si>
  <si>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</si>
  <si>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</si>
  <si>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</si>
  <si>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</si>
  <si>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</si>
  <si>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</si>
  <si>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</si>
  <si>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</si>
  <si>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</si>
  <si>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</si>
  <si>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</si>
  <si>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</si>
  <si>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</si>
  <si>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</si>
  <si>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</si>
  <si>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</si>
  <si>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</si>
  <si>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</si>
  <si>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</si>
  <si>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</si>
  <si>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</si>
  <si>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</si>
  <si>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</si>
  <si>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</si>
  <si>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</si>
  <si>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</si>
  <si>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</si>
  <si>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</si>
  <si>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</si>
  <si>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</si>
  <si>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</si>
  <si>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</si>
  <si>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</si>
  <si>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</si>
  <si>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</si>
  <si>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</si>
  <si>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</si>
  <si>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</si>
  <si>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</si>
  <si>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</si>
  <si>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</si>
  <si>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</si>
  <si>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</si>
  <si>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</si>
  <si>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</si>
  <si>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</si>
  <si>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</si>
  <si>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</si>
  <si>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</si>
  <si>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</si>
  <si>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</si>
  <si>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</si>
  <si>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</si>
  <si>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</si>
  <si>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</si>
  <si>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</si>
  <si>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</si>
  <si>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</si>
  <si>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</si>
  <si>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</si>
  <si>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</si>
  <si>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</si>
  <si>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</si>
  <si>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</si>
  <si>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</si>
  <si>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</si>
  <si>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</si>
  <si>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</si>
  <si>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</si>
  <si>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</si>
  <si>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</si>
  <si>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</si>
  <si>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</si>
  <si>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</si>
  <si>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</si>
  <si>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</si>
  <si>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</si>
  <si>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</si>
  <si>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</si>
  <si>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</si>
  <si>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</si>
  <si>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</si>
  <si>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</si>
  <si>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</si>
  <si>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</si>
  <si>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</si>
  <si>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</si>
  <si>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</si>
  <si>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</si>
  <si>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</si>
  <si>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</si>
  <si>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</si>
  <si>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</si>
  <si>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</si>
  <si>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</si>
  <si>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</si>
  <si>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</si>
  <si>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</si>
  <si>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</si>
  <si>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</si>
  <si>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</si>
  <si>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</si>
  <si>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</si>
  <si>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</si>
  <si>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</si>
  <si>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</si>
  <si>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</si>
  <si>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</si>
  <si>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</si>
  <si>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</si>
  <si>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</si>
  <si>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</si>
  <si>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</si>
  <si>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</si>
  <si>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</si>
  <si>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</si>
  <si>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</si>
  <si>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</si>
  <si>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</si>
  <si>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</si>
  <si>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</si>
  <si>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</si>
  <si>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</si>
  <si>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</si>
  <si>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</si>
  <si>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</si>
  <si>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</si>
  <si>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</si>
  <si>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</si>
  <si>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</si>
  <si>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</si>
  <si>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</si>
  <si>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</si>
  <si>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</si>
  <si>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</si>
  <si>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</si>
  <si>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</si>
  <si>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</si>
  <si>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</si>
  <si>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</si>
  <si>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</si>
  <si>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</si>
  <si>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</si>
  <si>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</si>
  <si>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</si>
  <si>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</si>
  <si>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</si>
  <si>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</si>
  <si>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</si>
  <si>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</si>
  <si>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</si>
  <si>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</si>
  <si>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</si>
  <si>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</si>
  <si>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</si>
  <si>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</si>
  <si>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</si>
  <si>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</si>
  <si>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</si>
  <si>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</si>
  <si>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</si>
  <si>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</si>
  <si>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</si>
  <si>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</si>
  <si>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</si>
  <si>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</si>
  <si>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</si>
  <si>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</si>
  <si>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</si>
  <si>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</si>
  <si>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</si>
  <si>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</si>
  <si>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</si>
  <si>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</si>
  <si>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</si>
  <si>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</si>
  <si>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</si>
  <si>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</si>
  <si>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</si>
  <si>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</si>
  <si>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</si>
  <si>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</si>
  <si>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</si>
  <si>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</si>
  <si>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</si>
  <si>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</si>
  <si>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</si>
  <si>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</si>
  <si>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</si>
  <si>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</si>
  <si>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</si>
  <si>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</si>
  <si>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</si>
  <si>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</si>
  <si>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</si>
  <si>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</si>
  <si>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</si>
  <si>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</si>
  <si>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</si>
  <si>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</si>
  <si>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</si>
  <si>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</si>
  <si>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</si>
  <si>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</si>
  <si>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</si>
  <si>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</si>
  <si>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</si>
  <si>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</si>
  <si>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</si>
  <si>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</si>
  <si>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</si>
  <si>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</si>
  <si>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</si>
  <si>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</si>
  <si>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</si>
  <si>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</si>
  <si>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</si>
  <si>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</si>
  <si>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</si>
  <si>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</si>
  <si>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</si>
  <si>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</si>
  <si>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</si>
  <si>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</si>
  <si>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</si>
  <si>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</si>
  <si>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</si>
  <si>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</si>
  <si>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</si>
  <si>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</si>
  <si>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</si>
  <si>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</si>
  <si>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</si>
  <si>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</si>
  <si>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</si>
  <si>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</si>
  <si>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</si>
  <si>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</si>
  <si>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</si>
  <si>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</si>
  <si>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</si>
  <si>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</si>
  <si>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</si>
  <si>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</si>
  <si>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</si>
  <si>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</si>
  <si>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</si>
  <si>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</si>
  <si>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</si>
  <si>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</si>
  <si>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</si>
  <si>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</si>
  <si>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</si>
  <si>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</si>
  <si>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</si>
  <si>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</si>
  <si>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</si>
  <si>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</si>
  <si>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</si>
  <si>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</si>
  <si>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</si>
  <si>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</si>
  <si>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36019</t>
  </si>
  <si>
    <t>STADEN</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</si>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</sst>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91288.051371981157</c:v>
                </c:pt>
                <c:pt idx="1">
                  <c:v>45443.579429827019</c:v>
                </c:pt>
                <c:pt idx="2">
                  <c:v>682.63599999999997</c:v>
                </c:pt>
                <c:pt idx="3">
                  <c:v>101705.16927443919</c:v>
                </c:pt>
                <c:pt idx="4">
                  <c:v>262406.7691980371</c:v>
                </c:pt>
                <c:pt idx="5">
                  <c:v>60211.408582882774</c:v>
                </c:pt>
                <c:pt idx="6">
                  <c:v>1161.0672042199028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91288.051371981157</c:v>
                </c:pt>
                <c:pt idx="1">
                  <c:v>45443.579429827019</c:v>
                </c:pt>
                <c:pt idx="2">
                  <c:v>682.63599999999997</c:v>
                </c:pt>
                <c:pt idx="3">
                  <c:v>101705.16927443919</c:v>
                </c:pt>
                <c:pt idx="4">
                  <c:v>262406.7691980371</c:v>
                </c:pt>
                <c:pt idx="5">
                  <c:v>60211.408582882774</c:v>
                </c:pt>
                <c:pt idx="6">
                  <c:v>1161.0672042199028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19164.797940337485</c:v>
                </c:pt>
                <c:pt idx="1">
                  <c:v>9035.5248963734193</c:v>
                </c:pt>
                <c:pt idx="2">
                  <c:v>145.27352438831971</c:v>
                </c:pt>
                <c:pt idx="3">
                  <c:v>24611.838916055793</c:v>
                </c:pt>
                <c:pt idx="4">
                  <c:v>54475.966826536882</c:v>
                </c:pt>
                <c:pt idx="5">
                  <c:v>14984.69790198637</c:v>
                </c:pt>
                <c:pt idx="6">
                  <c:v>292.81157985557837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19164.797940337485</c:v>
                </c:pt>
                <c:pt idx="1">
                  <c:v>9035.5248963734193</c:v>
                </c:pt>
                <c:pt idx="2">
                  <c:v>145.27352438831971</c:v>
                </c:pt>
                <c:pt idx="3">
                  <c:v>24611.838916055793</c:v>
                </c:pt>
                <c:pt idx="4">
                  <c:v>54475.966826536882</c:v>
                </c:pt>
                <c:pt idx="5">
                  <c:v>14984.69790198637</c:v>
                </c:pt>
                <c:pt idx="6">
                  <c:v>292.81157985557837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36019</v>
      </c>
      <c r="B6" s="386"/>
      <c r="C6" s="387"/>
    </row>
    <row r="7" spans="1:7" s="384" customFormat="1" ht="15.75" customHeight="1">
      <c r="A7" s="388" t="str">
        <f>txtMunicipality</f>
        <v>STADEN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10215.825846</v>
      </c>
      <c r="D10" s="681">
        <f ca="1">tertiair!C16</f>
        <v>0</v>
      </c>
      <c r="E10" s="681">
        <f ca="1">tertiair!D16</f>
        <v>33052.192420895997</v>
      </c>
      <c r="F10" s="681">
        <f>tertiair!E16</f>
        <v>143.44850004519731</v>
      </c>
      <c r="G10" s="681">
        <f ca="1">tertiair!F16</f>
        <v>1114.6937623596014</v>
      </c>
      <c r="H10" s="681">
        <f>tertiair!G16</f>
        <v>0</v>
      </c>
      <c r="I10" s="681">
        <f>tertiair!H16</f>
        <v>0</v>
      </c>
      <c r="J10" s="681">
        <f>tertiair!I16</f>
        <v>0</v>
      </c>
      <c r="K10" s="681">
        <f>tertiair!J16</f>
        <v>3.7604556302933911E-2</v>
      </c>
      <c r="L10" s="681">
        <f>tertiair!K16</f>
        <v>0</v>
      </c>
      <c r="M10" s="681">
        <f ca="1">tertiair!L16</f>
        <v>0</v>
      </c>
      <c r="N10" s="681">
        <f>tertiair!M16</f>
        <v>0</v>
      </c>
      <c r="O10" s="681">
        <f ca="1">tertiair!N16</f>
        <v>1470.4527155277242</v>
      </c>
      <c r="P10" s="681">
        <f>tertiair!O16</f>
        <v>24.486303829205774</v>
      </c>
      <c r="Q10" s="682">
        <f>tertiair!P16</f>
        <v>105.07827661299004</v>
      </c>
      <c r="R10" s="684">
        <f ca="1">SUM(C10:Q10)</f>
        <v>46126.215429827018</v>
      </c>
      <c r="S10" s="67"/>
    </row>
    <row r="11" spans="1:19" s="444" customFormat="1">
      <c r="A11" s="802" t="s">
        <v>219</v>
      </c>
      <c r="B11" s="807"/>
      <c r="C11" s="681">
        <f>huishoudens!B8</f>
        <v>18781.729635777672</v>
      </c>
      <c r="D11" s="681">
        <f>huishoudens!C8</f>
        <v>0</v>
      </c>
      <c r="E11" s="681">
        <f>huishoudens!D8</f>
        <v>33105.501064680007</v>
      </c>
      <c r="F11" s="681">
        <f>huishoudens!E8</f>
        <v>1862.1290298383644</v>
      </c>
      <c r="G11" s="681">
        <f>huishoudens!F8</f>
        <v>30020.001818361434</v>
      </c>
      <c r="H11" s="681">
        <f>huishoudens!G8</f>
        <v>0</v>
      </c>
      <c r="I11" s="681">
        <f>huishoudens!H8</f>
        <v>0</v>
      </c>
      <c r="J11" s="681">
        <f>huishoudens!I8</f>
        <v>0</v>
      </c>
      <c r="K11" s="681">
        <f>huishoudens!J8</f>
        <v>119.92858373779828</v>
      </c>
      <c r="L11" s="681">
        <f>huishoudens!K8</f>
        <v>0</v>
      </c>
      <c r="M11" s="681">
        <f>huishoudens!L8</f>
        <v>0</v>
      </c>
      <c r="N11" s="681">
        <f>huishoudens!M8</f>
        <v>0</v>
      </c>
      <c r="O11" s="681">
        <f>huishoudens!N8</f>
        <v>6487.5549945392204</v>
      </c>
      <c r="P11" s="681">
        <f>huishoudens!O8</f>
        <v>595.18746581610958</v>
      </c>
      <c r="Q11" s="682">
        <f>huishoudens!P8</f>
        <v>316.01877923055071</v>
      </c>
      <c r="R11" s="684">
        <f>SUM(C11:Q11)</f>
        <v>91288.051371981157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161068.05095700003</v>
      </c>
      <c r="D13" s="681">
        <f>industrie!C18</f>
        <v>1870.7142857142858</v>
      </c>
      <c r="E13" s="681">
        <f>industrie!D18</f>
        <v>81303.817207162007</v>
      </c>
      <c r="F13" s="681">
        <f>industrie!E18</f>
        <v>1267.6877319075097</v>
      </c>
      <c r="G13" s="681">
        <f>industrie!F18</f>
        <v>11404.870659339058</v>
      </c>
      <c r="H13" s="681">
        <f>industrie!G18</f>
        <v>0</v>
      </c>
      <c r="I13" s="681">
        <f>industrie!H18</f>
        <v>0</v>
      </c>
      <c r="J13" s="681">
        <f>industrie!I18</f>
        <v>0</v>
      </c>
      <c r="K13" s="681">
        <f>industrie!J18</f>
        <v>36.629601535414494</v>
      </c>
      <c r="L13" s="681">
        <f>industrie!K18</f>
        <v>0</v>
      </c>
      <c r="M13" s="681">
        <f>industrie!L18</f>
        <v>0</v>
      </c>
      <c r="N13" s="681">
        <f>industrie!M18</f>
        <v>0</v>
      </c>
      <c r="O13" s="681">
        <f>industrie!N18</f>
        <v>5454.9987553788023</v>
      </c>
      <c r="P13" s="681">
        <f>industrie!O18</f>
        <v>0</v>
      </c>
      <c r="Q13" s="682">
        <f>industrie!P18</f>
        <v>0</v>
      </c>
      <c r="R13" s="684">
        <f>SUM(C13:Q13)</f>
        <v>262406.7691980371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190065.6064387777</v>
      </c>
      <c r="D16" s="717">
        <f t="shared" ref="D16:R16" ca="1" si="0">SUM(D9:D15)</f>
        <v>1870.7142857142858</v>
      </c>
      <c r="E16" s="717">
        <f t="shared" ca="1" si="0"/>
        <v>147461.510692738</v>
      </c>
      <c r="F16" s="717">
        <f t="shared" si="0"/>
        <v>3273.2652617910717</v>
      </c>
      <c r="G16" s="717">
        <f t="shared" ca="1" si="0"/>
        <v>42539.566240060092</v>
      </c>
      <c r="H16" s="717">
        <f t="shared" si="0"/>
        <v>0</v>
      </c>
      <c r="I16" s="717">
        <f t="shared" si="0"/>
        <v>0</v>
      </c>
      <c r="J16" s="717">
        <f t="shared" si="0"/>
        <v>0</v>
      </c>
      <c r="K16" s="717">
        <f t="shared" si="0"/>
        <v>156.5957898295157</v>
      </c>
      <c r="L16" s="717">
        <f t="shared" si="0"/>
        <v>0</v>
      </c>
      <c r="M16" s="717">
        <f t="shared" ca="1" si="0"/>
        <v>0</v>
      </c>
      <c r="N16" s="717">
        <f t="shared" si="0"/>
        <v>0</v>
      </c>
      <c r="O16" s="717">
        <f t="shared" ca="1" si="0"/>
        <v>13413.006465445746</v>
      </c>
      <c r="P16" s="717">
        <f t="shared" si="0"/>
        <v>619.67376964531536</v>
      </c>
      <c r="Q16" s="717">
        <f t="shared" si="0"/>
        <v>421.09705584354072</v>
      </c>
      <c r="R16" s="717">
        <f t="shared" ca="1" si="0"/>
        <v>399821.03599984525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14.971934317073764</v>
      </c>
      <c r="D19" s="681">
        <f>transport!C54</f>
        <v>0</v>
      </c>
      <c r="E19" s="681">
        <f>transport!D54</f>
        <v>0</v>
      </c>
      <c r="F19" s="681">
        <f>transport!E54</f>
        <v>0</v>
      </c>
      <c r="G19" s="681">
        <f>transport!F54</f>
        <v>0</v>
      </c>
      <c r="H19" s="681">
        <f>transport!G54</f>
        <v>1084.7391909104854</v>
      </c>
      <c r="I19" s="681">
        <f>transport!H54</f>
        <v>0</v>
      </c>
      <c r="J19" s="681">
        <f>transport!I54</f>
        <v>0</v>
      </c>
      <c r="K19" s="681">
        <f>transport!J54</f>
        <v>0</v>
      </c>
      <c r="L19" s="681">
        <f>transport!K54</f>
        <v>0</v>
      </c>
      <c r="M19" s="681">
        <f>transport!L54</f>
        <v>0</v>
      </c>
      <c r="N19" s="681">
        <f>transport!M54</f>
        <v>61.356078992343619</v>
      </c>
      <c r="O19" s="681">
        <f>transport!N54</f>
        <v>0</v>
      </c>
      <c r="P19" s="681">
        <f>transport!O54</f>
        <v>0</v>
      </c>
      <c r="Q19" s="682">
        <f>transport!P54</f>
        <v>0</v>
      </c>
      <c r="R19" s="684">
        <f>SUM(C19:Q19)</f>
        <v>1161.0672042199028</v>
      </c>
      <c r="S19" s="67"/>
    </row>
    <row r="20" spans="1:19" s="444" customFormat="1">
      <c r="A20" s="802" t="s">
        <v>301</v>
      </c>
      <c r="B20" s="807"/>
      <c r="C20" s="681">
        <f>transport!B14</f>
        <v>60.466392782198561</v>
      </c>
      <c r="D20" s="681">
        <f>transport!C14</f>
        <v>0</v>
      </c>
      <c r="E20" s="681">
        <f>transport!D14</f>
        <v>114.81237059735555</v>
      </c>
      <c r="F20" s="681">
        <f>transport!E14</f>
        <v>98.324566023276262</v>
      </c>
      <c r="G20" s="681">
        <f>transport!F14</f>
        <v>0</v>
      </c>
      <c r="H20" s="681">
        <f>transport!G14</f>
        <v>46427.407685242011</v>
      </c>
      <c r="I20" s="681">
        <f>transport!H14</f>
        <v>10161.446851322933</v>
      </c>
      <c r="J20" s="681">
        <f>transport!I14</f>
        <v>0</v>
      </c>
      <c r="K20" s="681">
        <f>transport!J14</f>
        <v>0</v>
      </c>
      <c r="L20" s="681">
        <f>transport!K14</f>
        <v>0</v>
      </c>
      <c r="M20" s="681">
        <f>transport!L14</f>
        <v>0</v>
      </c>
      <c r="N20" s="681">
        <f>transport!M14</f>
        <v>3348.950716914992</v>
      </c>
      <c r="O20" s="681">
        <f>transport!N14</f>
        <v>0</v>
      </c>
      <c r="P20" s="681">
        <f>transport!O14</f>
        <v>0</v>
      </c>
      <c r="Q20" s="682">
        <f>transport!P14</f>
        <v>0</v>
      </c>
      <c r="R20" s="684">
        <f>SUM(C20:Q20)</f>
        <v>60211.408582882774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75.438327099272328</v>
      </c>
      <c r="D22" s="805">
        <f t="shared" ref="D22:R22" si="1">SUM(D18:D21)</f>
        <v>0</v>
      </c>
      <c r="E22" s="805">
        <f t="shared" si="1"/>
        <v>114.81237059735555</v>
      </c>
      <c r="F22" s="805">
        <f t="shared" si="1"/>
        <v>98.324566023276262</v>
      </c>
      <c r="G22" s="805">
        <f t="shared" si="1"/>
        <v>0</v>
      </c>
      <c r="H22" s="805">
        <f t="shared" si="1"/>
        <v>47512.146876152496</v>
      </c>
      <c r="I22" s="805">
        <f t="shared" si="1"/>
        <v>10161.446851322933</v>
      </c>
      <c r="J22" s="805">
        <f t="shared" si="1"/>
        <v>0</v>
      </c>
      <c r="K22" s="805">
        <f t="shared" si="1"/>
        <v>0</v>
      </c>
      <c r="L22" s="805">
        <f t="shared" si="1"/>
        <v>0</v>
      </c>
      <c r="M22" s="805">
        <f t="shared" si="1"/>
        <v>0</v>
      </c>
      <c r="N22" s="805">
        <f t="shared" si="1"/>
        <v>3410.3067959073355</v>
      </c>
      <c r="O22" s="805">
        <f t="shared" si="1"/>
        <v>0</v>
      </c>
      <c r="P22" s="805">
        <f t="shared" si="1"/>
        <v>0</v>
      </c>
      <c r="Q22" s="805">
        <f t="shared" si="1"/>
        <v>0</v>
      </c>
      <c r="R22" s="805">
        <f t="shared" si="1"/>
        <v>61372.475787102674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9187.891282999999</v>
      </c>
      <c r="D24" s="681">
        <f>+landbouw!C8</f>
        <v>53158.928571428572</v>
      </c>
      <c r="E24" s="681">
        <f>+landbouw!D8</f>
        <v>4069.2449956648634</v>
      </c>
      <c r="F24" s="681">
        <f>+landbouw!E8</f>
        <v>286.75105714966395</v>
      </c>
      <c r="G24" s="681">
        <f>+landbouw!F8</f>
        <v>32471.025601261965</v>
      </c>
      <c r="H24" s="681">
        <f>+landbouw!G8</f>
        <v>0</v>
      </c>
      <c r="I24" s="681">
        <f>+landbouw!H8</f>
        <v>0</v>
      </c>
      <c r="J24" s="681">
        <f>+landbouw!I8</f>
        <v>0</v>
      </c>
      <c r="K24" s="681">
        <f>+landbouw!J8</f>
        <v>2531.3277659341315</v>
      </c>
      <c r="L24" s="681">
        <f>+landbouw!K8</f>
        <v>0</v>
      </c>
      <c r="M24" s="681">
        <f>+landbouw!L8</f>
        <v>0</v>
      </c>
      <c r="N24" s="681">
        <f>+landbouw!M8</f>
        <v>0</v>
      </c>
      <c r="O24" s="681">
        <f>+landbouw!N8</f>
        <v>0</v>
      </c>
      <c r="P24" s="681">
        <f>+landbouw!O8</f>
        <v>0</v>
      </c>
      <c r="Q24" s="682">
        <f>+landbouw!P8</f>
        <v>0</v>
      </c>
      <c r="R24" s="684">
        <f>SUM(C24:Q24)</f>
        <v>101705.16927443919</v>
      </c>
      <c r="S24" s="67"/>
    </row>
    <row r="25" spans="1:19" s="444" customFormat="1" ht="15" thickBot="1">
      <c r="A25" s="824" t="s">
        <v>714</v>
      </c>
      <c r="B25" s="943"/>
      <c r="C25" s="944">
        <f>IF(Onbekend_ele_kWh="---",0,Onbekend_ele_kWh)/1000+IF(REST_rest_ele_kWh="---",0,REST_rest_ele_kWh)/1000</f>
        <v>477.35535600000003</v>
      </c>
      <c r="D25" s="944"/>
      <c r="E25" s="944">
        <f>IF(onbekend_gas_kWh="---",0,onbekend_gas_kWh)/1000+IF(REST_rest_gas_kWh="---",0,REST_rest_gas_kWh)/1000</f>
        <v>926.31120099999998</v>
      </c>
      <c r="F25" s="944"/>
      <c r="G25" s="944"/>
      <c r="H25" s="944"/>
      <c r="I25" s="944"/>
      <c r="J25" s="944"/>
      <c r="K25" s="944"/>
      <c r="L25" s="944"/>
      <c r="M25" s="944"/>
      <c r="N25" s="944"/>
      <c r="O25" s="944"/>
      <c r="P25" s="944"/>
      <c r="Q25" s="945"/>
      <c r="R25" s="684">
        <f>SUM(C25:Q25)</f>
        <v>1403.666557</v>
      </c>
      <c r="S25" s="67"/>
    </row>
    <row r="26" spans="1:19" s="444" customFormat="1" ht="15.75" thickBot="1">
      <c r="A26" s="689" t="s">
        <v>715</v>
      </c>
      <c r="B26" s="810"/>
      <c r="C26" s="805">
        <f>SUM(C24:C25)</f>
        <v>9665.246638999999</v>
      </c>
      <c r="D26" s="805">
        <f t="shared" ref="D26:R26" si="2">SUM(D24:D25)</f>
        <v>53158.928571428572</v>
      </c>
      <c r="E26" s="805">
        <f t="shared" si="2"/>
        <v>4995.5561966648638</v>
      </c>
      <c r="F26" s="805">
        <f t="shared" si="2"/>
        <v>286.75105714966395</v>
      </c>
      <c r="G26" s="805">
        <f t="shared" si="2"/>
        <v>32471.025601261965</v>
      </c>
      <c r="H26" s="805">
        <f t="shared" si="2"/>
        <v>0</v>
      </c>
      <c r="I26" s="805">
        <f t="shared" si="2"/>
        <v>0</v>
      </c>
      <c r="J26" s="805">
        <f t="shared" si="2"/>
        <v>0</v>
      </c>
      <c r="K26" s="805">
        <f t="shared" si="2"/>
        <v>2531.3277659341315</v>
      </c>
      <c r="L26" s="805">
        <f t="shared" si="2"/>
        <v>0</v>
      </c>
      <c r="M26" s="805">
        <f t="shared" si="2"/>
        <v>0</v>
      </c>
      <c r="N26" s="805">
        <f t="shared" si="2"/>
        <v>0</v>
      </c>
      <c r="O26" s="805">
        <f t="shared" si="2"/>
        <v>0</v>
      </c>
      <c r="P26" s="805">
        <f t="shared" si="2"/>
        <v>0</v>
      </c>
      <c r="Q26" s="805">
        <f t="shared" si="2"/>
        <v>0</v>
      </c>
      <c r="R26" s="805">
        <f t="shared" si="2"/>
        <v>103108.8358314392</v>
      </c>
      <c r="S26" s="67"/>
    </row>
    <row r="27" spans="1:19" s="444" customFormat="1" ht="17.25" thickTop="1" thickBot="1">
      <c r="A27" s="690" t="s">
        <v>115</v>
      </c>
      <c r="B27" s="797"/>
      <c r="C27" s="691">
        <f ca="1">C22+C16+C26</f>
        <v>199806.29140487697</v>
      </c>
      <c r="D27" s="691">
        <f t="shared" ref="D27:R27" ca="1" si="3">D22+D16+D26</f>
        <v>55029.642857142855</v>
      </c>
      <c r="E27" s="691">
        <f t="shared" ca="1" si="3"/>
        <v>152571.87926000022</v>
      </c>
      <c r="F27" s="691">
        <f t="shared" si="3"/>
        <v>3658.3408849640123</v>
      </c>
      <c r="G27" s="691">
        <f t="shared" ca="1" si="3"/>
        <v>75010.59184132205</v>
      </c>
      <c r="H27" s="691">
        <f t="shared" si="3"/>
        <v>47512.146876152496</v>
      </c>
      <c r="I27" s="691">
        <f t="shared" si="3"/>
        <v>10161.446851322933</v>
      </c>
      <c r="J27" s="691">
        <f t="shared" si="3"/>
        <v>0</v>
      </c>
      <c r="K27" s="691">
        <f t="shared" si="3"/>
        <v>2687.9235557636471</v>
      </c>
      <c r="L27" s="691">
        <f t="shared" si="3"/>
        <v>0</v>
      </c>
      <c r="M27" s="691">
        <f t="shared" ca="1" si="3"/>
        <v>0</v>
      </c>
      <c r="N27" s="691">
        <f t="shared" si="3"/>
        <v>3410.3067959073355</v>
      </c>
      <c r="O27" s="691">
        <f t="shared" ca="1" si="3"/>
        <v>13413.006465445746</v>
      </c>
      <c r="P27" s="691">
        <f t="shared" si="3"/>
        <v>619.67376964531536</v>
      </c>
      <c r="Q27" s="691">
        <f t="shared" si="3"/>
        <v>421.09705584354072</v>
      </c>
      <c r="R27" s="691">
        <f t="shared" ca="1" si="3"/>
        <v>564302.34761838708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2174.0561956675415</v>
      </c>
      <c r="D40" s="681">
        <f ca="1">tertiair!C20</f>
        <v>0</v>
      </c>
      <c r="E40" s="681">
        <f ca="1">tertiair!D20</f>
        <v>6676.5428690209919</v>
      </c>
      <c r="F40" s="681">
        <f>tertiair!E20</f>
        <v>32.56280951025979</v>
      </c>
      <c r="G40" s="681">
        <f ca="1">tertiair!F20</f>
        <v>297.62323455001359</v>
      </c>
      <c r="H40" s="681">
        <f>tertiair!G20</f>
        <v>0</v>
      </c>
      <c r="I40" s="681">
        <f>tertiair!H20</f>
        <v>0</v>
      </c>
      <c r="J40" s="681">
        <f>tertiair!I20</f>
        <v>0</v>
      </c>
      <c r="K40" s="681">
        <f>tertiair!J20</f>
        <v>1.3312012931238603E-2</v>
      </c>
      <c r="L40" s="681">
        <f>tertiair!K20</f>
        <v>0</v>
      </c>
      <c r="M40" s="681">
        <f ca="1">tertiair!L20</f>
        <v>0</v>
      </c>
      <c r="N40" s="681">
        <f>tertiair!M20</f>
        <v>0</v>
      </c>
      <c r="O40" s="681">
        <f ca="1">tertiair!N20</f>
        <v>0</v>
      </c>
      <c r="P40" s="681">
        <f>tertiair!O20</f>
        <v>0</v>
      </c>
      <c r="Q40" s="764">
        <f>tertiair!P20</f>
        <v>0</v>
      </c>
      <c r="R40" s="843">
        <f t="shared" ca="1" si="4"/>
        <v>9180.7984207617392</v>
      </c>
    </row>
    <row r="41" spans="1:18">
      <c r="A41" s="815" t="s">
        <v>219</v>
      </c>
      <c r="B41" s="822"/>
      <c r="C41" s="681">
        <f ca="1">huishoudens!B12</f>
        <v>3996.9882313531298</v>
      </c>
      <c r="D41" s="681">
        <f ca="1">huishoudens!C12</f>
        <v>0</v>
      </c>
      <c r="E41" s="681">
        <f>huishoudens!D12</f>
        <v>6687.3112150653624</v>
      </c>
      <c r="F41" s="681">
        <f>huishoudens!E12</f>
        <v>422.70328977330871</v>
      </c>
      <c r="G41" s="681">
        <f>huishoudens!F12</f>
        <v>8015.3404855025037</v>
      </c>
      <c r="H41" s="681">
        <f>huishoudens!G12</f>
        <v>0</v>
      </c>
      <c r="I41" s="681">
        <f>huishoudens!H12</f>
        <v>0</v>
      </c>
      <c r="J41" s="681">
        <f>huishoudens!I12</f>
        <v>0</v>
      </c>
      <c r="K41" s="681">
        <f>huishoudens!J12</f>
        <v>42.454718643180591</v>
      </c>
      <c r="L41" s="681">
        <f>huishoudens!K12</f>
        <v>0</v>
      </c>
      <c r="M41" s="681">
        <f>huishoudens!L12</f>
        <v>0</v>
      </c>
      <c r="N41" s="681">
        <f>huishoudens!M12</f>
        <v>0</v>
      </c>
      <c r="O41" s="681">
        <f>huishoudens!N12</f>
        <v>0</v>
      </c>
      <c r="P41" s="681">
        <f>huishoudens!O12</f>
        <v>0</v>
      </c>
      <c r="Q41" s="764">
        <f>huishoudens!P12</f>
        <v>0</v>
      </c>
      <c r="R41" s="843">
        <f t="shared" ca="1" si="4"/>
        <v>19164.797940337485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34277.306542404542</v>
      </c>
      <c r="D43" s="681">
        <f ca="1">industrie!C22</f>
        <v>429.45674815554236</v>
      </c>
      <c r="E43" s="681">
        <f>industrie!D22</f>
        <v>16423.371075846728</v>
      </c>
      <c r="F43" s="681">
        <f>industrie!E22</f>
        <v>287.76511514300472</v>
      </c>
      <c r="G43" s="681">
        <f>industrie!F22</f>
        <v>3045.1004660435287</v>
      </c>
      <c r="H43" s="681">
        <f>industrie!G22</f>
        <v>0</v>
      </c>
      <c r="I43" s="681">
        <f>industrie!H22</f>
        <v>0</v>
      </c>
      <c r="J43" s="681">
        <f>industrie!I22</f>
        <v>0</v>
      </c>
      <c r="K43" s="681">
        <f>industrie!J22</f>
        <v>12.966878943536731</v>
      </c>
      <c r="L43" s="681">
        <f>industrie!K22</f>
        <v>0</v>
      </c>
      <c r="M43" s="681">
        <f>industrie!L22</f>
        <v>0</v>
      </c>
      <c r="N43" s="681">
        <f>industrie!M22</f>
        <v>0</v>
      </c>
      <c r="O43" s="681">
        <f>industrie!N22</f>
        <v>0</v>
      </c>
      <c r="P43" s="681">
        <f>industrie!O22</f>
        <v>0</v>
      </c>
      <c r="Q43" s="764">
        <f>industrie!P22</f>
        <v>0</v>
      </c>
      <c r="R43" s="842">
        <f t="shared" ca="1" si="4"/>
        <v>54475.966826536882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40448.350969425213</v>
      </c>
      <c r="D46" s="717">
        <f t="shared" ref="D46:Q46" ca="1" si="5">SUM(D39:D45)</f>
        <v>429.45674815554236</v>
      </c>
      <c r="E46" s="717">
        <f t="shared" ca="1" si="5"/>
        <v>29787.225159933081</v>
      </c>
      <c r="F46" s="717">
        <f t="shared" si="5"/>
        <v>743.03121442657323</v>
      </c>
      <c r="G46" s="717">
        <f t="shared" ca="1" si="5"/>
        <v>11358.064186096046</v>
      </c>
      <c r="H46" s="717">
        <f t="shared" si="5"/>
        <v>0</v>
      </c>
      <c r="I46" s="717">
        <f t="shared" si="5"/>
        <v>0</v>
      </c>
      <c r="J46" s="717">
        <f t="shared" si="5"/>
        <v>0</v>
      </c>
      <c r="K46" s="717">
        <f t="shared" si="5"/>
        <v>55.434909599648563</v>
      </c>
      <c r="L46" s="717">
        <f t="shared" si="5"/>
        <v>0</v>
      </c>
      <c r="M46" s="717">
        <f t="shared" ca="1" si="5"/>
        <v>0</v>
      </c>
      <c r="N46" s="717">
        <f t="shared" si="5"/>
        <v>0</v>
      </c>
      <c r="O46" s="717">
        <f t="shared" ca="1" si="5"/>
        <v>0</v>
      </c>
      <c r="P46" s="717">
        <f t="shared" si="5"/>
        <v>0</v>
      </c>
      <c r="Q46" s="717">
        <f t="shared" si="5"/>
        <v>0</v>
      </c>
      <c r="R46" s="717">
        <f ca="1">SUM(R39:R45)</f>
        <v>82821.563187636115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3.1862158824787095</v>
      </c>
      <c r="D49" s="681">
        <f ca="1">transport!C58</f>
        <v>0</v>
      </c>
      <c r="E49" s="681">
        <f>transport!D58</f>
        <v>0</v>
      </c>
      <c r="F49" s="681">
        <f>transport!E58</f>
        <v>0</v>
      </c>
      <c r="G49" s="681">
        <f>transport!F58</f>
        <v>0</v>
      </c>
      <c r="H49" s="681">
        <f>transport!G58</f>
        <v>289.62536397309964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292.81157985557837</v>
      </c>
    </row>
    <row r="50" spans="1:18">
      <c r="A50" s="818" t="s">
        <v>301</v>
      </c>
      <c r="B50" s="828"/>
      <c r="C50" s="687">
        <f ca="1">transport!B18</f>
        <v>12.868008699392417</v>
      </c>
      <c r="D50" s="687">
        <f>transport!C18</f>
        <v>0</v>
      </c>
      <c r="E50" s="687">
        <f>transport!D18</f>
        <v>23.192098860665823</v>
      </c>
      <c r="F50" s="687">
        <f>transport!E18</f>
        <v>22.319676487283711</v>
      </c>
      <c r="G50" s="687">
        <f>transport!F18</f>
        <v>0</v>
      </c>
      <c r="H50" s="687">
        <f>transport!G18</f>
        <v>12396.117851959618</v>
      </c>
      <c r="I50" s="687">
        <f>transport!H18</f>
        <v>2530.2002659794102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14984.69790198637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16.054224581871125</v>
      </c>
      <c r="D52" s="717">
        <f t="shared" ref="D52:Q52" ca="1" si="6">SUM(D48:D51)</f>
        <v>0</v>
      </c>
      <c r="E52" s="717">
        <f t="shared" si="6"/>
        <v>23.192098860665823</v>
      </c>
      <c r="F52" s="717">
        <f t="shared" si="6"/>
        <v>22.319676487283711</v>
      </c>
      <c r="G52" s="717">
        <f t="shared" si="6"/>
        <v>0</v>
      </c>
      <c r="H52" s="717">
        <f t="shared" si="6"/>
        <v>12685.743215932718</v>
      </c>
      <c r="I52" s="717">
        <f t="shared" si="6"/>
        <v>2530.2002659794102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15277.509481841949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1955.2987952263441</v>
      </c>
      <c r="D54" s="687">
        <f ca="1">+landbouw!C12</f>
        <v>12203.606277054543</v>
      </c>
      <c r="E54" s="687">
        <f>+landbouw!D12</f>
        <v>821.98748912430244</v>
      </c>
      <c r="F54" s="687">
        <f>+landbouw!E12</f>
        <v>65.092489972973723</v>
      </c>
      <c r="G54" s="687">
        <f>+landbouw!F12</f>
        <v>8669.7638355369454</v>
      </c>
      <c r="H54" s="687">
        <f>+landbouw!G12</f>
        <v>0</v>
      </c>
      <c r="I54" s="687">
        <f>+landbouw!H12</f>
        <v>0</v>
      </c>
      <c r="J54" s="687">
        <f>+landbouw!I12</f>
        <v>0</v>
      </c>
      <c r="K54" s="687">
        <f>+landbouw!J12</f>
        <v>896.09002914068253</v>
      </c>
      <c r="L54" s="687">
        <f>+landbouw!K12</f>
        <v>0</v>
      </c>
      <c r="M54" s="687">
        <f>+landbouw!L12</f>
        <v>0</v>
      </c>
      <c r="N54" s="687">
        <f>+landbouw!M12</f>
        <v>0</v>
      </c>
      <c r="O54" s="687">
        <f>+landbouw!N12</f>
        <v>0</v>
      </c>
      <c r="P54" s="687">
        <f>+landbouw!O12</f>
        <v>0</v>
      </c>
      <c r="Q54" s="688">
        <f>+landbouw!P12</f>
        <v>0</v>
      </c>
      <c r="R54" s="716">
        <f ca="1">SUM(C54:Q54)</f>
        <v>24611.838916055793</v>
      </c>
    </row>
    <row r="55" spans="1:18" ht="15" thickBot="1">
      <c r="A55" s="818" t="s">
        <v>714</v>
      </c>
      <c r="B55" s="828"/>
      <c r="C55" s="687">
        <f ca="1">C25*'EF ele_warmte'!B12</f>
        <v>101.58722210923692</v>
      </c>
      <c r="D55" s="687"/>
      <c r="E55" s="687">
        <f>E25*EF_CO2_aardgas</f>
        <v>187.11486260200002</v>
      </c>
      <c r="F55" s="687"/>
      <c r="G55" s="687"/>
      <c r="H55" s="687"/>
      <c r="I55" s="687"/>
      <c r="J55" s="687"/>
      <c r="K55" s="687"/>
      <c r="L55" s="687"/>
      <c r="M55" s="687"/>
      <c r="N55" s="687"/>
      <c r="O55" s="687"/>
      <c r="P55" s="687"/>
      <c r="Q55" s="688"/>
      <c r="R55" s="716">
        <f ca="1">SUM(C55:Q55)</f>
        <v>288.70208471123692</v>
      </c>
    </row>
    <row r="56" spans="1:18" ht="15.75" thickBot="1">
      <c r="A56" s="816" t="s">
        <v>715</v>
      </c>
      <c r="B56" s="829"/>
      <c r="C56" s="717">
        <f ca="1">SUM(C54:C55)</f>
        <v>2056.8860173355811</v>
      </c>
      <c r="D56" s="717">
        <f t="shared" ref="D56:Q56" ca="1" si="7">SUM(D54:D55)</f>
        <v>12203.606277054543</v>
      </c>
      <c r="E56" s="717">
        <f t="shared" si="7"/>
        <v>1009.1023517263025</v>
      </c>
      <c r="F56" s="717">
        <f t="shared" si="7"/>
        <v>65.092489972973723</v>
      </c>
      <c r="G56" s="717">
        <f t="shared" si="7"/>
        <v>8669.7638355369454</v>
      </c>
      <c r="H56" s="717">
        <f t="shared" si="7"/>
        <v>0</v>
      </c>
      <c r="I56" s="717">
        <f t="shared" si="7"/>
        <v>0</v>
      </c>
      <c r="J56" s="717">
        <f t="shared" si="7"/>
        <v>0</v>
      </c>
      <c r="K56" s="717">
        <f t="shared" si="7"/>
        <v>896.09002914068253</v>
      </c>
      <c r="L56" s="717">
        <f t="shared" si="7"/>
        <v>0</v>
      </c>
      <c r="M56" s="717">
        <f t="shared" si="7"/>
        <v>0</v>
      </c>
      <c r="N56" s="717">
        <f t="shared" si="7"/>
        <v>0</v>
      </c>
      <c r="O56" s="717">
        <f t="shared" si="7"/>
        <v>0</v>
      </c>
      <c r="P56" s="717">
        <f t="shared" si="7"/>
        <v>0</v>
      </c>
      <c r="Q56" s="718">
        <f t="shared" si="7"/>
        <v>0</v>
      </c>
      <c r="R56" s="719">
        <f ca="1">SUM(R54:R55)</f>
        <v>24900.541000767029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42521.291211342665</v>
      </c>
      <c r="D61" s="725">
        <f t="shared" ref="D61:Q61" ca="1" si="8">D46+D52+D56</f>
        <v>12633.063025210085</v>
      </c>
      <c r="E61" s="725">
        <f t="shared" ca="1" si="8"/>
        <v>30819.519610520048</v>
      </c>
      <c r="F61" s="725">
        <f t="shared" si="8"/>
        <v>830.4433808868306</v>
      </c>
      <c r="G61" s="725">
        <f t="shared" ca="1" si="8"/>
        <v>20027.828021632991</v>
      </c>
      <c r="H61" s="725">
        <f t="shared" si="8"/>
        <v>12685.743215932718</v>
      </c>
      <c r="I61" s="725">
        <f t="shared" si="8"/>
        <v>2530.2002659794102</v>
      </c>
      <c r="J61" s="725">
        <f t="shared" si="8"/>
        <v>0</v>
      </c>
      <c r="K61" s="725">
        <f t="shared" si="8"/>
        <v>951.52493874033109</v>
      </c>
      <c r="L61" s="725">
        <f t="shared" si="8"/>
        <v>0</v>
      </c>
      <c r="M61" s="725">
        <f t="shared" ca="1" si="8"/>
        <v>0</v>
      </c>
      <c r="N61" s="725">
        <f t="shared" si="8"/>
        <v>0</v>
      </c>
      <c r="O61" s="725">
        <f t="shared" ca="1" si="8"/>
        <v>0</v>
      </c>
      <c r="P61" s="725">
        <f t="shared" si="8"/>
        <v>0</v>
      </c>
      <c r="Q61" s="725">
        <f t="shared" si="8"/>
        <v>0</v>
      </c>
      <c r="R61" s="725">
        <f ca="1">R46+R52+R56</f>
        <v>122999.61367024509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0.21281257418055849</v>
      </c>
      <c r="D63" s="771">
        <f t="shared" ca="1" si="9"/>
        <v>0.22956832661999207</v>
      </c>
      <c r="E63" s="969">
        <f t="shared" ca="1" si="9"/>
        <v>0.20200000000000001</v>
      </c>
      <c r="F63" s="771">
        <f t="shared" si="9"/>
        <v>0.22699999999999995</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8895.7355510507241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1309.4999999999998</v>
      </c>
      <c r="C76" s="738">
        <f>'lokale energieproductie'!B8*IFERROR(SUM(D76:H76)/SUM(D76:O76),0)</f>
        <v>37211.25</v>
      </c>
      <c r="D76" s="952">
        <f>'lokale energieproductie'!C8</f>
        <v>43777.941176470595</v>
      </c>
      <c r="E76" s="953">
        <f>'lokale energieproductie'!D8</f>
        <v>0</v>
      </c>
      <c r="F76" s="953">
        <f>'lokale energieproductie'!E8</f>
        <v>0</v>
      </c>
      <c r="G76" s="953">
        <f>'lokale energieproductie'!F8</f>
        <v>0</v>
      </c>
      <c r="H76" s="953">
        <f>'lokale energieproductie'!G8</f>
        <v>0</v>
      </c>
      <c r="I76" s="953">
        <f>'lokale energieproductie'!I8</f>
        <v>0</v>
      </c>
      <c r="J76" s="953">
        <f>'lokale energieproductie'!J8</f>
        <v>1540.5882352941178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8843.1441176470598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10205.235551050724</v>
      </c>
      <c r="C78" s="743">
        <f>SUM(C72:C77)</f>
        <v>37211.25</v>
      </c>
      <c r="D78" s="744">
        <f t="shared" ref="D78:H78" si="10">SUM(D76:D77)</f>
        <v>43777.941176470595</v>
      </c>
      <c r="E78" s="744">
        <f t="shared" si="10"/>
        <v>0</v>
      </c>
      <c r="F78" s="744">
        <f t="shared" si="10"/>
        <v>0</v>
      </c>
      <c r="G78" s="744">
        <f t="shared" si="10"/>
        <v>0</v>
      </c>
      <c r="H78" s="744">
        <f t="shared" si="10"/>
        <v>0</v>
      </c>
      <c r="I78" s="744">
        <f>SUM(I76:I77)</f>
        <v>0</v>
      </c>
      <c r="J78" s="744">
        <f>SUM(J76:J77)</f>
        <v>1540.5882352941178</v>
      </c>
      <c r="K78" s="744">
        <f t="shared" ref="K78:L78" si="11">SUM(K76:K77)</f>
        <v>0</v>
      </c>
      <c r="L78" s="744">
        <f t="shared" si="11"/>
        <v>0</v>
      </c>
      <c r="M78" s="744">
        <f>SUM(M76:M77)</f>
        <v>0</v>
      </c>
      <c r="N78" s="744">
        <f>SUM(N76:N77)</f>
        <v>0</v>
      </c>
      <c r="O78" s="853">
        <f>SUM(O76:O77)</f>
        <v>0</v>
      </c>
      <c r="P78" s="745">
        <v>0</v>
      </c>
      <c r="Q78" s="745">
        <f>SUM(Q76:Q77)</f>
        <v>8843.1441176470598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1870.7142857142858</v>
      </c>
      <c r="C87" s="756">
        <f>'lokale energieproductie'!B17*IFERROR(SUM(D87:H87)/SUM(D87:O87),0)</f>
        <v>53158.928571428572</v>
      </c>
      <c r="D87" s="767">
        <f>'lokale energieproductie'!C17</f>
        <v>62539.915966386558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12633.063025210085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1870.7142857142858</v>
      </c>
      <c r="C90" s="743">
        <f>SUM(C87:C89)</f>
        <v>53158.928571428572</v>
      </c>
      <c r="D90" s="743">
        <f t="shared" ref="D90:H90" si="12">SUM(D87:D89)</f>
        <v>62539.915966386558</v>
      </c>
      <c r="E90" s="743">
        <f t="shared" si="12"/>
        <v>0</v>
      </c>
      <c r="F90" s="743">
        <f t="shared" si="12"/>
        <v>0</v>
      </c>
      <c r="G90" s="743">
        <f t="shared" si="12"/>
        <v>0</v>
      </c>
      <c r="H90" s="743">
        <f t="shared" si="12"/>
        <v>0</v>
      </c>
      <c r="I90" s="743">
        <f>SUM(I87:I89)</f>
        <v>0</v>
      </c>
      <c r="J90" s="743">
        <f>SUM(J87:J89)</f>
        <v>2200.840336134454</v>
      </c>
      <c r="K90" s="743">
        <f t="shared" ref="K90:L90" si="13">SUM(K87:K89)</f>
        <v>0</v>
      </c>
      <c r="L90" s="743">
        <f t="shared" si="13"/>
        <v>0</v>
      </c>
      <c r="M90" s="743">
        <f>SUM(M87:M89)</f>
        <v>0</v>
      </c>
      <c r="N90" s="743">
        <f>SUM(N87:N89)</f>
        <v>0</v>
      </c>
      <c r="O90" s="743">
        <f>SUM(O87:O89)</f>
        <v>0</v>
      </c>
      <c r="P90" s="743">
        <v>0</v>
      </c>
      <c r="Q90" s="743">
        <f>SUM(Q87:Q89)</f>
        <v>12633.063025210085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18781.729635777672</v>
      </c>
      <c r="C4" s="448">
        <f>huishoudens!C8</f>
        <v>0</v>
      </c>
      <c r="D4" s="448">
        <f>huishoudens!D8</f>
        <v>33105.501064680007</v>
      </c>
      <c r="E4" s="448">
        <f>huishoudens!E8</f>
        <v>1862.1290298383644</v>
      </c>
      <c r="F4" s="448">
        <f>huishoudens!F8</f>
        <v>30020.001818361434</v>
      </c>
      <c r="G4" s="448">
        <f>huishoudens!G8</f>
        <v>0</v>
      </c>
      <c r="H4" s="448">
        <f>huishoudens!H8</f>
        <v>0</v>
      </c>
      <c r="I4" s="448">
        <f>huishoudens!I8</f>
        <v>0</v>
      </c>
      <c r="J4" s="448">
        <f>huishoudens!J8</f>
        <v>119.92858373779828</v>
      </c>
      <c r="K4" s="448">
        <f>huishoudens!K8</f>
        <v>0</v>
      </c>
      <c r="L4" s="448">
        <f>huishoudens!L8</f>
        <v>0</v>
      </c>
      <c r="M4" s="448">
        <f>huishoudens!M8</f>
        <v>0</v>
      </c>
      <c r="N4" s="448">
        <f>huishoudens!N8</f>
        <v>6487.5549945392204</v>
      </c>
      <c r="O4" s="448">
        <f>huishoudens!O8</f>
        <v>595.18746581610958</v>
      </c>
      <c r="P4" s="449">
        <f>huishoudens!P8</f>
        <v>316.01877923055071</v>
      </c>
      <c r="Q4" s="450">
        <f>SUM(B4:P4)</f>
        <v>91288.051371981157</v>
      </c>
    </row>
    <row r="5" spans="1:17">
      <c r="A5" s="447" t="s">
        <v>155</v>
      </c>
      <c r="B5" s="448">
        <f ca="1">tertiair!B16</f>
        <v>9533.1898459999993</v>
      </c>
      <c r="C5" s="448">
        <f ca="1">tertiair!C16</f>
        <v>0</v>
      </c>
      <c r="D5" s="448">
        <f ca="1">tertiair!D16</f>
        <v>33052.192420895997</v>
      </c>
      <c r="E5" s="448">
        <f>tertiair!E16</f>
        <v>143.44850004519731</v>
      </c>
      <c r="F5" s="448">
        <f ca="1">tertiair!F16</f>
        <v>1114.6937623596014</v>
      </c>
      <c r="G5" s="448">
        <f>tertiair!G16</f>
        <v>0</v>
      </c>
      <c r="H5" s="448">
        <f>tertiair!H16</f>
        <v>0</v>
      </c>
      <c r="I5" s="448">
        <f>tertiair!I16</f>
        <v>0</v>
      </c>
      <c r="J5" s="448">
        <f>tertiair!J16</f>
        <v>3.7604556302933911E-2</v>
      </c>
      <c r="K5" s="448">
        <f>tertiair!K16</f>
        <v>0</v>
      </c>
      <c r="L5" s="448">
        <f ca="1">tertiair!L16</f>
        <v>0</v>
      </c>
      <c r="M5" s="448">
        <f>tertiair!M16</f>
        <v>0</v>
      </c>
      <c r="N5" s="448">
        <f ca="1">tertiair!N16</f>
        <v>1470.4527155277242</v>
      </c>
      <c r="O5" s="448">
        <f>tertiair!O16</f>
        <v>24.486303829205774</v>
      </c>
      <c r="P5" s="449">
        <f>tertiair!P16</f>
        <v>105.07827661299004</v>
      </c>
      <c r="Q5" s="447">
        <f t="shared" ref="Q5:Q14" ca="1" si="0">SUM(B5:P5)</f>
        <v>45443.579429827019</v>
      </c>
    </row>
    <row r="6" spans="1:17">
      <c r="A6" s="447" t="s">
        <v>193</v>
      </c>
      <c r="B6" s="448">
        <f>'openbare verlichting'!B8</f>
        <v>682.63599999999997</v>
      </c>
      <c r="C6" s="448"/>
      <c r="D6" s="448"/>
      <c r="E6" s="448"/>
      <c r="F6" s="448"/>
      <c r="G6" s="448"/>
      <c r="H6" s="448"/>
      <c r="I6" s="448"/>
      <c r="J6" s="448"/>
      <c r="K6" s="448"/>
      <c r="L6" s="448"/>
      <c r="M6" s="448"/>
      <c r="N6" s="448"/>
      <c r="O6" s="448"/>
      <c r="P6" s="449"/>
      <c r="Q6" s="447">
        <f t="shared" si="0"/>
        <v>682.63599999999997</v>
      </c>
    </row>
    <row r="7" spans="1:17">
      <c r="A7" s="447" t="s">
        <v>111</v>
      </c>
      <c r="B7" s="448">
        <f>landbouw!B8</f>
        <v>9187.891282999999</v>
      </c>
      <c r="C7" s="448">
        <f>landbouw!C8</f>
        <v>53158.928571428572</v>
      </c>
      <c r="D7" s="448">
        <f>landbouw!D8</f>
        <v>4069.2449956648634</v>
      </c>
      <c r="E7" s="448">
        <f>landbouw!E8</f>
        <v>286.75105714966395</v>
      </c>
      <c r="F7" s="448">
        <f>landbouw!F8</f>
        <v>32471.025601261965</v>
      </c>
      <c r="G7" s="448">
        <f>landbouw!G8</f>
        <v>0</v>
      </c>
      <c r="H7" s="448">
        <f>landbouw!H8</f>
        <v>0</v>
      </c>
      <c r="I7" s="448">
        <f>landbouw!I8</f>
        <v>0</v>
      </c>
      <c r="J7" s="448">
        <f>landbouw!J8</f>
        <v>2531.3277659341315</v>
      </c>
      <c r="K7" s="448">
        <f>landbouw!K8</f>
        <v>0</v>
      </c>
      <c r="L7" s="448">
        <f>landbouw!L8</f>
        <v>0</v>
      </c>
      <c r="M7" s="448">
        <f>landbouw!M8</f>
        <v>0</v>
      </c>
      <c r="N7" s="448">
        <f>landbouw!N8</f>
        <v>0</v>
      </c>
      <c r="O7" s="448">
        <f>landbouw!O8</f>
        <v>0</v>
      </c>
      <c r="P7" s="449">
        <f>landbouw!P8</f>
        <v>0</v>
      </c>
      <c r="Q7" s="447">
        <f t="shared" si="0"/>
        <v>101705.16927443919</v>
      </c>
    </row>
    <row r="8" spans="1:17">
      <c r="A8" s="447" t="s">
        <v>618</v>
      </c>
      <c r="B8" s="448">
        <f>industrie!B18</f>
        <v>161068.05095700003</v>
      </c>
      <c r="C8" s="448">
        <f>industrie!C18</f>
        <v>1870.7142857142858</v>
      </c>
      <c r="D8" s="448">
        <f>industrie!D18</f>
        <v>81303.817207162007</v>
      </c>
      <c r="E8" s="448">
        <f>industrie!E18</f>
        <v>1267.6877319075097</v>
      </c>
      <c r="F8" s="448">
        <f>industrie!F18</f>
        <v>11404.870659339058</v>
      </c>
      <c r="G8" s="448">
        <f>industrie!G18</f>
        <v>0</v>
      </c>
      <c r="H8" s="448">
        <f>industrie!H18</f>
        <v>0</v>
      </c>
      <c r="I8" s="448">
        <f>industrie!I18</f>
        <v>0</v>
      </c>
      <c r="J8" s="448">
        <f>industrie!J18</f>
        <v>36.629601535414494</v>
      </c>
      <c r="K8" s="448">
        <f>industrie!K18</f>
        <v>0</v>
      </c>
      <c r="L8" s="448">
        <f>industrie!L18</f>
        <v>0</v>
      </c>
      <c r="M8" s="448">
        <f>industrie!M18</f>
        <v>0</v>
      </c>
      <c r="N8" s="448">
        <f>industrie!N18</f>
        <v>5454.9987553788023</v>
      </c>
      <c r="O8" s="448">
        <f>industrie!O18</f>
        <v>0</v>
      </c>
      <c r="P8" s="449">
        <f>industrie!P18</f>
        <v>0</v>
      </c>
      <c r="Q8" s="447">
        <f t="shared" si="0"/>
        <v>262406.7691980371</v>
      </c>
    </row>
    <row r="9" spans="1:17" s="453" customFormat="1">
      <c r="A9" s="451" t="s">
        <v>544</v>
      </c>
      <c r="B9" s="452">
        <f>transport!B14</f>
        <v>60.466392782198561</v>
      </c>
      <c r="C9" s="452">
        <f>transport!C14</f>
        <v>0</v>
      </c>
      <c r="D9" s="452">
        <f>transport!D14</f>
        <v>114.81237059735555</v>
      </c>
      <c r="E9" s="452">
        <f>transport!E14</f>
        <v>98.324566023276262</v>
      </c>
      <c r="F9" s="452">
        <f>transport!F14</f>
        <v>0</v>
      </c>
      <c r="G9" s="452">
        <f>transport!G14</f>
        <v>46427.407685242011</v>
      </c>
      <c r="H9" s="452">
        <f>transport!H14</f>
        <v>10161.446851322933</v>
      </c>
      <c r="I9" s="452">
        <f>transport!I14</f>
        <v>0</v>
      </c>
      <c r="J9" s="452">
        <f>transport!J14</f>
        <v>0</v>
      </c>
      <c r="K9" s="452">
        <f>transport!K14</f>
        <v>0</v>
      </c>
      <c r="L9" s="452">
        <f>transport!L14</f>
        <v>0</v>
      </c>
      <c r="M9" s="452">
        <f>transport!M14</f>
        <v>3348.950716914992</v>
      </c>
      <c r="N9" s="452">
        <f>transport!N14</f>
        <v>0</v>
      </c>
      <c r="O9" s="452">
        <f>transport!O14</f>
        <v>0</v>
      </c>
      <c r="P9" s="452">
        <f>transport!P14</f>
        <v>0</v>
      </c>
      <c r="Q9" s="451">
        <f>SUM(B9:P9)</f>
        <v>60211.408582882774</v>
      </c>
    </row>
    <row r="10" spans="1:17">
      <c r="A10" s="447" t="s">
        <v>534</v>
      </c>
      <c r="B10" s="448">
        <f>transport!B54</f>
        <v>14.971934317073764</v>
      </c>
      <c r="C10" s="448">
        <f>transport!C54</f>
        <v>0</v>
      </c>
      <c r="D10" s="448">
        <f>transport!D54</f>
        <v>0</v>
      </c>
      <c r="E10" s="448">
        <f>transport!E54</f>
        <v>0</v>
      </c>
      <c r="F10" s="448">
        <f>transport!F54</f>
        <v>0</v>
      </c>
      <c r="G10" s="448">
        <f>transport!G54</f>
        <v>1084.7391909104854</v>
      </c>
      <c r="H10" s="448">
        <f>transport!H54</f>
        <v>0</v>
      </c>
      <c r="I10" s="448">
        <f>transport!I54</f>
        <v>0</v>
      </c>
      <c r="J10" s="448">
        <f>transport!J54</f>
        <v>0</v>
      </c>
      <c r="K10" s="448">
        <f>transport!K54</f>
        <v>0</v>
      </c>
      <c r="L10" s="448">
        <f>transport!L54</f>
        <v>0</v>
      </c>
      <c r="M10" s="448">
        <f>transport!M54</f>
        <v>61.356078992343619</v>
      </c>
      <c r="N10" s="448">
        <f>transport!N54</f>
        <v>0</v>
      </c>
      <c r="O10" s="448">
        <f>transport!O54</f>
        <v>0</v>
      </c>
      <c r="P10" s="449">
        <f>transport!P54</f>
        <v>0</v>
      </c>
      <c r="Q10" s="447">
        <f t="shared" si="0"/>
        <v>1161.0672042199028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477.35535600000003</v>
      </c>
      <c r="C14" s="455"/>
      <c r="D14" s="455">
        <f>'SEAP template'!E25</f>
        <v>926.31120099999998</v>
      </c>
      <c r="E14" s="455"/>
      <c r="F14" s="455"/>
      <c r="G14" s="455"/>
      <c r="H14" s="455"/>
      <c r="I14" s="455"/>
      <c r="J14" s="455"/>
      <c r="K14" s="455"/>
      <c r="L14" s="455"/>
      <c r="M14" s="455"/>
      <c r="N14" s="455"/>
      <c r="O14" s="455"/>
      <c r="P14" s="456"/>
      <c r="Q14" s="447">
        <f t="shared" si="0"/>
        <v>1403.666557</v>
      </c>
    </row>
    <row r="15" spans="1:17" s="459" customFormat="1">
      <c r="A15" s="457" t="s">
        <v>538</v>
      </c>
      <c r="B15" s="458">
        <f ca="1">SUM(B4:B14)</f>
        <v>199806.29140487697</v>
      </c>
      <c r="C15" s="458">
        <f t="shared" ref="C15:Q15" ca="1" si="1">SUM(C4:C14)</f>
        <v>55029.642857142855</v>
      </c>
      <c r="D15" s="458">
        <f t="shared" ca="1" si="1"/>
        <v>152571.87926000022</v>
      </c>
      <c r="E15" s="458">
        <f t="shared" si="1"/>
        <v>3658.3408849640118</v>
      </c>
      <c r="F15" s="458">
        <f t="shared" ca="1" si="1"/>
        <v>75010.59184132205</v>
      </c>
      <c r="G15" s="458">
        <f t="shared" si="1"/>
        <v>47512.146876152496</v>
      </c>
      <c r="H15" s="458">
        <f t="shared" si="1"/>
        <v>10161.446851322933</v>
      </c>
      <c r="I15" s="458">
        <f t="shared" si="1"/>
        <v>0</v>
      </c>
      <c r="J15" s="458">
        <f t="shared" si="1"/>
        <v>2687.9235557636475</v>
      </c>
      <c r="K15" s="458">
        <f t="shared" si="1"/>
        <v>0</v>
      </c>
      <c r="L15" s="458">
        <f t="shared" ca="1" si="1"/>
        <v>0</v>
      </c>
      <c r="M15" s="458">
        <f t="shared" si="1"/>
        <v>3410.3067959073355</v>
      </c>
      <c r="N15" s="458">
        <f t="shared" ca="1" si="1"/>
        <v>13413.006465445746</v>
      </c>
      <c r="O15" s="458">
        <f t="shared" si="1"/>
        <v>619.67376964531536</v>
      </c>
      <c r="P15" s="458">
        <f t="shared" si="1"/>
        <v>421.09705584354072</v>
      </c>
      <c r="Q15" s="458">
        <f t="shared" ca="1" si="1"/>
        <v>564302.34761838708</v>
      </c>
    </row>
    <row r="17" spans="1:17">
      <c r="A17" s="460" t="s">
        <v>539</v>
      </c>
      <c r="B17" s="776">
        <f ca="1">huishoudens!B10</f>
        <v>0.21281257418055849</v>
      </c>
      <c r="C17" s="776">
        <f ca="1">huishoudens!C10</f>
        <v>0.22956832661999207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3996.9882313531298</v>
      </c>
      <c r="C22" s="448">
        <f t="shared" ref="C22:C32" ca="1" si="3">C4*$C$17</f>
        <v>0</v>
      </c>
      <c r="D22" s="448">
        <f t="shared" ref="D22:D32" si="4">D4*$D$17</f>
        <v>6687.3112150653624</v>
      </c>
      <c r="E22" s="448">
        <f t="shared" ref="E22:E32" si="5">E4*$E$17</f>
        <v>422.70328977330871</v>
      </c>
      <c r="F22" s="448">
        <f t="shared" ref="F22:F32" si="6">F4*$F$17</f>
        <v>8015.3404855025037</v>
      </c>
      <c r="G22" s="448">
        <f t="shared" ref="G22:G32" si="7">G4*$G$17</f>
        <v>0</v>
      </c>
      <c r="H22" s="448">
        <f t="shared" ref="H22:H32" si="8">H4*$H$17</f>
        <v>0</v>
      </c>
      <c r="I22" s="448">
        <f t="shared" ref="I22:I32" si="9">I4*$I$17</f>
        <v>0</v>
      </c>
      <c r="J22" s="448">
        <f t="shared" ref="J22:J32" si="10">J4*$J$17</f>
        <v>42.454718643180591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19164.797940337485</v>
      </c>
    </row>
    <row r="23" spans="1:17">
      <c r="A23" s="447" t="s">
        <v>155</v>
      </c>
      <c r="B23" s="448">
        <f t="shared" ca="1" si="2"/>
        <v>2028.7826712792219</v>
      </c>
      <c r="C23" s="448">
        <f t="shared" ca="1" si="3"/>
        <v>0</v>
      </c>
      <c r="D23" s="448">
        <f t="shared" ca="1" si="4"/>
        <v>6676.5428690209919</v>
      </c>
      <c r="E23" s="448">
        <f t="shared" si="5"/>
        <v>32.56280951025979</v>
      </c>
      <c r="F23" s="448">
        <f t="shared" ca="1" si="6"/>
        <v>297.62323455001359</v>
      </c>
      <c r="G23" s="448">
        <f t="shared" si="7"/>
        <v>0</v>
      </c>
      <c r="H23" s="448">
        <f t="shared" si="8"/>
        <v>0</v>
      </c>
      <c r="I23" s="448">
        <f t="shared" si="9"/>
        <v>0</v>
      </c>
      <c r="J23" s="448">
        <f t="shared" si="10"/>
        <v>1.3312012931238603E-2</v>
      </c>
      <c r="K23" s="448">
        <f t="shared" si="11"/>
        <v>0</v>
      </c>
      <c r="L23" s="448">
        <f t="shared" ca="1" si="12"/>
        <v>0</v>
      </c>
      <c r="M23" s="448">
        <f t="shared" si="13"/>
        <v>0</v>
      </c>
      <c r="N23" s="448">
        <f t="shared" ca="1" si="14"/>
        <v>0</v>
      </c>
      <c r="O23" s="448">
        <f t="shared" si="15"/>
        <v>0</v>
      </c>
      <c r="P23" s="449">
        <f t="shared" si="16"/>
        <v>0</v>
      </c>
      <c r="Q23" s="447">
        <f t="shared" ref="Q23:Q31" ca="1" si="17">SUM(B23:P23)</f>
        <v>9035.5248963734193</v>
      </c>
    </row>
    <row r="24" spans="1:17">
      <c r="A24" s="447" t="s">
        <v>193</v>
      </c>
      <c r="B24" s="448">
        <f t="shared" ca="1" si="2"/>
        <v>145.27352438831971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145.27352438831971</v>
      </c>
    </row>
    <row r="25" spans="1:17">
      <c r="A25" s="447" t="s">
        <v>111</v>
      </c>
      <c r="B25" s="448">
        <f t="shared" ca="1" si="2"/>
        <v>1955.2987952263441</v>
      </c>
      <c r="C25" s="448">
        <f t="shared" ca="1" si="3"/>
        <v>12203.606277054543</v>
      </c>
      <c r="D25" s="448">
        <f t="shared" si="4"/>
        <v>821.98748912430244</v>
      </c>
      <c r="E25" s="448">
        <f t="shared" si="5"/>
        <v>65.092489972973723</v>
      </c>
      <c r="F25" s="448">
        <f t="shared" si="6"/>
        <v>8669.7638355369454</v>
      </c>
      <c r="G25" s="448">
        <f t="shared" si="7"/>
        <v>0</v>
      </c>
      <c r="H25" s="448">
        <f t="shared" si="8"/>
        <v>0</v>
      </c>
      <c r="I25" s="448">
        <f t="shared" si="9"/>
        <v>0</v>
      </c>
      <c r="J25" s="448">
        <f t="shared" si="10"/>
        <v>896.09002914068253</v>
      </c>
      <c r="K25" s="448">
        <f t="shared" si="11"/>
        <v>0</v>
      </c>
      <c r="L25" s="448">
        <f t="shared" si="12"/>
        <v>0</v>
      </c>
      <c r="M25" s="448">
        <f t="shared" si="13"/>
        <v>0</v>
      </c>
      <c r="N25" s="448">
        <f t="shared" si="14"/>
        <v>0</v>
      </c>
      <c r="O25" s="448">
        <f t="shared" si="15"/>
        <v>0</v>
      </c>
      <c r="P25" s="449">
        <f t="shared" si="16"/>
        <v>0</v>
      </c>
      <c r="Q25" s="447">
        <f t="shared" ca="1" si="17"/>
        <v>24611.838916055793</v>
      </c>
    </row>
    <row r="26" spans="1:17">
      <c r="A26" s="447" t="s">
        <v>618</v>
      </c>
      <c r="B26" s="448">
        <f t="shared" ca="1" si="2"/>
        <v>34277.306542404542</v>
      </c>
      <c r="C26" s="448">
        <f t="shared" ca="1" si="3"/>
        <v>429.45674815554236</v>
      </c>
      <c r="D26" s="448">
        <f t="shared" si="4"/>
        <v>16423.371075846728</v>
      </c>
      <c r="E26" s="448">
        <f t="shared" si="5"/>
        <v>287.76511514300472</v>
      </c>
      <c r="F26" s="448">
        <f t="shared" si="6"/>
        <v>3045.1004660435287</v>
      </c>
      <c r="G26" s="448">
        <f t="shared" si="7"/>
        <v>0</v>
      </c>
      <c r="H26" s="448">
        <f t="shared" si="8"/>
        <v>0</v>
      </c>
      <c r="I26" s="448">
        <f t="shared" si="9"/>
        <v>0</v>
      </c>
      <c r="J26" s="448">
        <f t="shared" si="10"/>
        <v>12.966878943536731</v>
      </c>
      <c r="K26" s="448">
        <f t="shared" si="11"/>
        <v>0</v>
      </c>
      <c r="L26" s="448">
        <f t="shared" si="12"/>
        <v>0</v>
      </c>
      <c r="M26" s="448">
        <f t="shared" si="13"/>
        <v>0</v>
      </c>
      <c r="N26" s="448">
        <f t="shared" si="14"/>
        <v>0</v>
      </c>
      <c r="O26" s="448">
        <f t="shared" si="15"/>
        <v>0</v>
      </c>
      <c r="P26" s="449">
        <f t="shared" si="16"/>
        <v>0</v>
      </c>
      <c r="Q26" s="447">
        <f t="shared" ca="1" si="17"/>
        <v>54475.966826536882</v>
      </c>
    </row>
    <row r="27" spans="1:17" s="453" customFormat="1">
      <c r="A27" s="451" t="s">
        <v>544</v>
      </c>
      <c r="B27" s="770">
        <f t="shared" ca="1" si="2"/>
        <v>12.868008699392417</v>
      </c>
      <c r="C27" s="452">
        <f t="shared" ca="1" si="3"/>
        <v>0</v>
      </c>
      <c r="D27" s="452">
        <f t="shared" si="4"/>
        <v>23.192098860665823</v>
      </c>
      <c r="E27" s="452">
        <f t="shared" si="5"/>
        <v>22.319676487283711</v>
      </c>
      <c r="F27" s="452">
        <f t="shared" si="6"/>
        <v>0</v>
      </c>
      <c r="G27" s="452">
        <f t="shared" si="7"/>
        <v>12396.117851959618</v>
      </c>
      <c r="H27" s="452">
        <f t="shared" si="8"/>
        <v>2530.2002659794102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14984.69790198637</v>
      </c>
    </row>
    <row r="28" spans="1:17" ht="16.5" customHeight="1">
      <c r="A28" s="447" t="s">
        <v>534</v>
      </c>
      <c r="B28" s="448">
        <f t="shared" ca="1" si="2"/>
        <v>3.1862158824787095</v>
      </c>
      <c r="C28" s="448">
        <f t="shared" ca="1" si="3"/>
        <v>0</v>
      </c>
      <c r="D28" s="448">
        <f t="shared" si="4"/>
        <v>0</v>
      </c>
      <c r="E28" s="448">
        <f t="shared" si="5"/>
        <v>0</v>
      </c>
      <c r="F28" s="448">
        <f t="shared" si="6"/>
        <v>0</v>
      </c>
      <c r="G28" s="448">
        <f t="shared" si="7"/>
        <v>289.62536397309964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292.81157985557837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101.58722210923692</v>
      </c>
      <c r="C32" s="448">
        <f t="shared" ca="1" si="3"/>
        <v>0</v>
      </c>
      <c r="D32" s="448">
        <f t="shared" si="4"/>
        <v>187.11486260200002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288.70208471123692</v>
      </c>
    </row>
    <row r="33" spans="1:17" s="459" customFormat="1">
      <c r="A33" s="457" t="s">
        <v>538</v>
      </c>
      <c r="B33" s="458">
        <f ca="1">SUM(B22:B32)</f>
        <v>42521.291211342665</v>
      </c>
      <c r="C33" s="458">
        <f t="shared" ref="C33:Q33" ca="1" si="19">SUM(C22:C32)</f>
        <v>12633.063025210085</v>
      </c>
      <c r="D33" s="458">
        <f t="shared" ca="1" si="19"/>
        <v>30819.519610520048</v>
      </c>
      <c r="E33" s="458">
        <f t="shared" si="19"/>
        <v>830.44338088683071</v>
      </c>
      <c r="F33" s="458">
        <f t="shared" ca="1" si="19"/>
        <v>20027.828021632991</v>
      </c>
      <c r="G33" s="458">
        <f t="shared" si="19"/>
        <v>12685.743215932718</v>
      </c>
      <c r="H33" s="458">
        <f t="shared" si="19"/>
        <v>2530.2002659794102</v>
      </c>
      <c r="I33" s="458">
        <f t="shared" si="19"/>
        <v>0</v>
      </c>
      <c r="J33" s="458">
        <f t="shared" si="19"/>
        <v>951.52493874033109</v>
      </c>
      <c r="K33" s="458">
        <f t="shared" si="19"/>
        <v>0</v>
      </c>
      <c r="L33" s="458">
        <f t="shared" ca="1" si="19"/>
        <v>0</v>
      </c>
      <c r="M33" s="458">
        <f t="shared" si="19"/>
        <v>0</v>
      </c>
      <c r="N33" s="458">
        <f t="shared" ca="1" si="19"/>
        <v>0</v>
      </c>
      <c r="O33" s="458">
        <f t="shared" si="19"/>
        <v>0</v>
      </c>
      <c r="P33" s="458">
        <f t="shared" si="19"/>
        <v>0</v>
      </c>
      <c r="Q33" s="458">
        <f t="shared" ca="1" si="19"/>
        <v>122999.61367024509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8895.7355510507241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1309.4999999999998</v>
      </c>
      <c r="C8" s="1021">
        <f>'SEAP template'!C76</f>
        <v>37211.25</v>
      </c>
      <c r="D8" s="1021">
        <f>'SEAP template'!D76</f>
        <v>43777.941176470595</v>
      </c>
      <c r="E8" s="1021">
        <f>'SEAP template'!E76</f>
        <v>0</v>
      </c>
      <c r="F8" s="1021">
        <f>'SEAP template'!F76</f>
        <v>0</v>
      </c>
      <c r="G8" s="1021">
        <f>'SEAP template'!G76</f>
        <v>0</v>
      </c>
      <c r="H8" s="1021">
        <f>'SEAP template'!H76</f>
        <v>0</v>
      </c>
      <c r="I8" s="1021">
        <f>'SEAP template'!I76</f>
        <v>0</v>
      </c>
      <c r="J8" s="1021">
        <f>'SEAP template'!J76</f>
        <v>1540.5882352941178</v>
      </c>
      <c r="K8" s="1021">
        <f>'SEAP template'!K76</f>
        <v>0</v>
      </c>
      <c r="L8" s="1021">
        <f>'SEAP template'!L76</f>
        <v>0</v>
      </c>
      <c r="M8" s="1021">
        <f>'SEAP template'!M76</f>
        <v>0</v>
      </c>
      <c r="N8" s="1021">
        <f>'SEAP template'!N76</f>
        <v>0</v>
      </c>
      <c r="O8" s="1021">
        <f>'SEAP template'!O76</f>
        <v>0</v>
      </c>
      <c r="P8" s="1022">
        <f>'SEAP template'!Q76</f>
        <v>8843.1441176470598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10205.235551050724</v>
      </c>
      <c r="C10" s="1023">
        <f>SUM(C4:C9)</f>
        <v>37211.25</v>
      </c>
      <c r="D10" s="1023">
        <f t="shared" ref="D10:H10" si="0">SUM(D8:D9)</f>
        <v>43777.941176470595</v>
      </c>
      <c r="E10" s="1023">
        <f t="shared" si="0"/>
        <v>0</v>
      </c>
      <c r="F10" s="1023">
        <f t="shared" si="0"/>
        <v>0</v>
      </c>
      <c r="G10" s="1023">
        <f t="shared" si="0"/>
        <v>0</v>
      </c>
      <c r="H10" s="1023">
        <f t="shared" si="0"/>
        <v>0</v>
      </c>
      <c r="I10" s="1023">
        <f>SUM(I8:I9)</f>
        <v>0</v>
      </c>
      <c r="J10" s="1023">
        <f>SUM(J8:J9)</f>
        <v>1540.5882352941178</v>
      </c>
      <c r="K10" s="1023">
        <f t="shared" ref="K10:L10" si="1">SUM(K8:K9)</f>
        <v>0</v>
      </c>
      <c r="L10" s="1023">
        <f t="shared" si="1"/>
        <v>0</v>
      </c>
      <c r="M10" s="1023">
        <f>SUM(M8:M9)</f>
        <v>0</v>
      </c>
      <c r="N10" s="1023">
        <f>SUM(N8:N9)</f>
        <v>0</v>
      </c>
      <c r="O10" s="1023">
        <f>SUM(O8:O9)</f>
        <v>0</v>
      </c>
      <c r="P10" s="1023">
        <f>SUM(P8:P9)</f>
        <v>8843.1441176470598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0.21281257418055849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1870.7142857142858</v>
      </c>
      <c r="C17" s="1024">
        <f>'SEAP template'!C87</f>
        <v>53158.928571428572</v>
      </c>
      <c r="D17" s="1022">
        <f>'SEAP template'!D87</f>
        <v>62539.915966386558</v>
      </c>
      <c r="E17" s="1022">
        <f>'SEAP template'!E87</f>
        <v>0</v>
      </c>
      <c r="F17" s="1022">
        <f>'SEAP template'!F87</f>
        <v>0</v>
      </c>
      <c r="G17" s="1022">
        <f>'SEAP template'!G87</f>
        <v>0</v>
      </c>
      <c r="H17" s="1022">
        <f>'SEAP template'!H87</f>
        <v>0</v>
      </c>
      <c r="I17" s="1022">
        <f>'SEAP template'!I87</f>
        <v>0</v>
      </c>
      <c r="J17" s="1022">
        <f>'SEAP template'!J87</f>
        <v>2200.840336134454</v>
      </c>
      <c r="K17" s="1022">
        <f>'SEAP template'!K87</f>
        <v>0</v>
      </c>
      <c r="L17" s="1022">
        <f>'SEAP template'!L87</f>
        <v>0</v>
      </c>
      <c r="M17" s="1022">
        <f>'SEAP template'!M87</f>
        <v>0</v>
      </c>
      <c r="N17" s="1022">
        <f>'SEAP template'!N87</f>
        <v>0</v>
      </c>
      <c r="O17" s="1022">
        <f>'SEAP template'!O87</f>
        <v>0</v>
      </c>
      <c r="P17" s="1022">
        <f>'SEAP template'!Q87</f>
        <v>12633.063025210085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1870.7142857142858</v>
      </c>
      <c r="C20" s="1023">
        <f>SUM(C17:C19)</f>
        <v>53158.928571428572</v>
      </c>
      <c r="D20" s="1023">
        <f t="shared" ref="D20:H20" si="2">SUM(D17:D19)</f>
        <v>62539.915966386558</v>
      </c>
      <c r="E20" s="1023">
        <f t="shared" si="2"/>
        <v>0</v>
      </c>
      <c r="F20" s="1023">
        <f t="shared" si="2"/>
        <v>0</v>
      </c>
      <c r="G20" s="1023">
        <f t="shared" si="2"/>
        <v>0</v>
      </c>
      <c r="H20" s="1023">
        <f t="shared" si="2"/>
        <v>0</v>
      </c>
      <c r="I20" s="1023">
        <f>SUM(I17:I19)</f>
        <v>0</v>
      </c>
      <c r="J20" s="1023">
        <f>SUM(J17:J19)</f>
        <v>2200.840336134454</v>
      </c>
      <c r="K20" s="1023">
        <f t="shared" ref="K20:L20" si="3">SUM(K17:K19)</f>
        <v>0</v>
      </c>
      <c r="L20" s="1023">
        <f t="shared" si="3"/>
        <v>0</v>
      </c>
      <c r="M20" s="1023">
        <f>SUM(M17:M19)</f>
        <v>0</v>
      </c>
      <c r="N20" s="1023">
        <f>SUM(N17:N19)</f>
        <v>0</v>
      </c>
      <c r="O20" s="1023">
        <f>SUM(O17:O19)</f>
        <v>0</v>
      </c>
      <c r="P20" s="1023">
        <f>SUM(P17:P19)</f>
        <v>12633.063025210085</v>
      </c>
    </row>
    <row r="21" spans="1:16">
      <c r="B21" s="881"/>
    </row>
    <row r="22" spans="1:16">
      <c r="A22" s="460" t="s">
        <v>786</v>
      </c>
      <c r="B22" s="776" t="s">
        <v>784</v>
      </c>
      <c r="C22" s="776">
        <f ca="1">'EF ele_warmte'!B22</f>
        <v>0.22956832661999207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0.21281257418055849</v>
      </c>
      <c r="C17" s="496">
        <f ca="1">'EF ele_warmte'!B22</f>
        <v>0.22956832661999207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0.21281257418055849</v>
      </c>
      <c r="C17" s="496">
        <f ca="1">'EF ele_warmte'!B22</f>
        <v>0.22956832661999207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0.21281257418055849</v>
      </c>
      <c r="C29" s="497">
        <f ca="1">'EF ele_warmte'!B22</f>
        <v>0.22956832661999207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3256.81</v>
      </c>
      <c r="C14" s="326"/>
      <c r="D14" s="326"/>
      <c r="E14" s="326"/>
      <c r="F14" s="326"/>
    </row>
    <row r="15" spans="1:6">
      <c r="A15" s="1298" t="s">
        <v>183</v>
      </c>
      <c r="B15" s="1299">
        <v>11</v>
      </c>
      <c r="C15" s="326"/>
      <c r="D15" s="326"/>
      <c r="E15" s="326"/>
      <c r="F15" s="326"/>
    </row>
    <row r="16" spans="1:6">
      <c r="A16" s="1298" t="s">
        <v>6</v>
      </c>
      <c r="B16" s="1299">
        <v>306</v>
      </c>
      <c r="C16" s="326"/>
      <c r="D16" s="326"/>
      <c r="E16" s="326"/>
      <c r="F16" s="326"/>
    </row>
    <row r="17" spans="1:6">
      <c r="A17" s="1298" t="s">
        <v>7</v>
      </c>
      <c r="B17" s="1299">
        <v>765</v>
      </c>
      <c r="C17" s="326"/>
      <c r="D17" s="326"/>
      <c r="E17" s="326"/>
      <c r="F17" s="326"/>
    </row>
    <row r="18" spans="1:6">
      <c r="A18" s="1298" t="s">
        <v>8</v>
      </c>
      <c r="B18" s="1299">
        <v>934</v>
      </c>
      <c r="C18" s="326"/>
      <c r="D18" s="326"/>
      <c r="E18" s="326"/>
      <c r="F18" s="326"/>
    </row>
    <row r="19" spans="1:6">
      <c r="A19" s="1298" t="s">
        <v>9</v>
      </c>
      <c r="B19" s="1299">
        <v>818</v>
      </c>
      <c r="C19" s="326"/>
      <c r="D19" s="326"/>
      <c r="E19" s="326"/>
      <c r="F19" s="326"/>
    </row>
    <row r="20" spans="1:6">
      <c r="A20" s="1298" t="s">
        <v>10</v>
      </c>
      <c r="B20" s="1299">
        <v>592</v>
      </c>
      <c r="C20" s="326"/>
      <c r="D20" s="326"/>
      <c r="E20" s="326"/>
      <c r="F20" s="326"/>
    </row>
    <row r="21" spans="1:6">
      <c r="A21" s="1298" t="s">
        <v>11</v>
      </c>
      <c r="B21" s="1299">
        <v>48545</v>
      </c>
      <c r="C21" s="326"/>
      <c r="D21" s="326"/>
      <c r="E21" s="326"/>
      <c r="F21" s="326"/>
    </row>
    <row r="22" spans="1:6">
      <c r="A22" s="1298" t="s">
        <v>12</v>
      </c>
      <c r="B22" s="1299">
        <v>107062</v>
      </c>
      <c r="C22" s="326"/>
      <c r="D22" s="326"/>
      <c r="E22" s="326"/>
      <c r="F22" s="326"/>
    </row>
    <row r="23" spans="1:6">
      <c r="A23" s="1298" t="s">
        <v>13</v>
      </c>
      <c r="B23" s="1299">
        <v>1619</v>
      </c>
      <c r="C23" s="326"/>
      <c r="D23" s="326"/>
      <c r="E23" s="326"/>
      <c r="F23" s="326"/>
    </row>
    <row r="24" spans="1:6">
      <c r="A24" s="1298" t="s">
        <v>14</v>
      </c>
      <c r="B24" s="1299">
        <v>78</v>
      </c>
      <c r="C24" s="326"/>
      <c r="D24" s="326"/>
      <c r="E24" s="326"/>
      <c r="F24" s="326"/>
    </row>
    <row r="25" spans="1:6">
      <c r="A25" s="1298" t="s">
        <v>15</v>
      </c>
      <c r="B25" s="1299">
        <v>10727</v>
      </c>
      <c r="C25" s="326"/>
      <c r="D25" s="326"/>
      <c r="E25" s="326"/>
      <c r="F25" s="326"/>
    </row>
    <row r="26" spans="1:6">
      <c r="A26" s="1298" t="s">
        <v>16</v>
      </c>
      <c r="B26" s="1299">
        <v>307</v>
      </c>
      <c r="C26" s="326"/>
      <c r="D26" s="326"/>
      <c r="E26" s="326"/>
      <c r="F26" s="326"/>
    </row>
    <row r="27" spans="1:6">
      <c r="A27" s="1298" t="s">
        <v>17</v>
      </c>
      <c r="B27" s="1299">
        <v>0</v>
      </c>
      <c r="C27" s="326"/>
      <c r="D27" s="326"/>
      <c r="E27" s="326"/>
      <c r="F27" s="326"/>
    </row>
    <row r="28" spans="1:6" s="43" customFormat="1">
      <c r="A28" s="1300" t="s">
        <v>18</v>
      </c>
      <c r="B28" s="1301">
        <v>102080</v>
      </c>
      <c r="C28" s="332"/>
      <c r="D28" s="332"/>
      <c r="E28" s="332"/>
      <c r="F28" s="332"/>
    </row>
    <row r="29" spans="1:6">
      <c r="A29" s="1300" t="s">
        <v>695</v>
      </c>
      <c r="B29" s="1301">
        <v>41</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12268.333000000001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2517</v>
      </c>
      <c r="D39" s="1299">
        <v>36702329.340000004</v>
      </c>
      <c r="E39" s="1299">
        <v>4149</v>
      </c>
      <c r="F39" s="1299">
        <v>14194130.939999999</v>
      </c>
    </row>
    <row r="40" spans="1:6">
      <c r="A40" s="1298" t="s">
        <v>29</v>
      </c>
      <c r="B40" s="1298" t="s">
        <v>28</v>
      </c>
      <c r="C40" s="1299">
        <v>0</v>
      </c>
      <c r="D40" s="1299">
        <v>0</v>
      </c>
      <c r="E40" s="1299">
        <v>0</v>
      </c>
      <c r="F40" s="1299">
        <v>0</v>
      </c>
    </row>
    <row r="41" spans="1:6">
      <c r="A41" s="1298" t="s">
        <v>31</v>
      </c>
      <c r="B41" s="1298" t="s">
        <v>32</v>
      </c>
      <c r="C41" s="1299">
        <v>71</v>
      </c>
      <c r="D41" s="1299">
        <v>2409655.1290000002</v>
      </c>
      <c r="E41" s="1299">
        <v>160</v>
      </c>
      <c r="F41" s="1299">
        <v>2844205.4580000001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41091.129999999997</v>
      </c>
      <c r="E44" s="1299">
        <v>25</v>
      </c>
      <c r="F44" s="1299">
        <v>1008832.459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7904918.9819999998</v>
      </c>
      <c r="E48" s="1299">
        <v>40</v>
      </c>
      <c r="F48" s="1299">
        <v>4311099.3279999997</v>
      </c>
    </row>
    <row r="49" spans="1:6">
      <c r="A49" s="1298" t="s">
        <v>31</v>
      </c>
      <c r="B49" s="1298" t="s">
        <v>39</v>
      </c>
      <c r="C49" s="1299">
        <v>0</v>
      </c>
      <c r="D49" s="1299">
        <v>0</v>
      </c>
      <c r="E49" s="1299">
        <v>3</v>
      </c>
      <c r="F49" s="1299">
        <v>70569.312000000005</v>
      </c>
    </row>
    <row r="50" spans="1:6">
      <c r="A50" s="1298" t="s">
        <v>31</v>
      </c>
      <c r="B50" s="1298" t="s">
        <v>40</v>
      </c>
      <c r="C50" s="1299">
        <v>16</v>
      </c>
      <c r="D50" s="1299">
        <v>79781604.390000001</v>
      </c>
      <c r="E50" s="1299">
        <v>23</v>
      </c>
      <c r="F50" s="1299">
        <v>151523844.40000001</v>
      </c>
    </row>
    <row r="51" spans="1:6">
      <c r="A51" s="1298" t="s">
        <v>41</v>
      </c>
      <c r="B51" s="1298" t="s">
        <v>42</v>
      </c>
      <c r="C51" s="1299">
        <v>34</v>
      </c>
      <c r="D51" s="1299">
        <v>116136187.5</v>
      </c>
      <c r="E51" s="1299">
        <v>283</v>
      </c>
      <c r="F51" s="1299">
        <v>8814535.3420000002</v>
      </c>
    </row>
    <row r="52" spans="1:6">
      <c r="A52" s="1298" t="s">
        <v>41</v>
      </c>
      <c r="B52" s="1298" t="s">
        <v>28</v>
      </c>
      <c r="C52" s="1299">
        <v>9</v>
      </c>
      <c r="D52" s="1299">
        <v>6244191.8109999998</v>
      </c>
      <c r="E52" s="1299">
        <v>12</v>
      </c>
      <c r="F52" s="1299">
        <v>373355.94099999999</v>
      </c>
    </row>
    <row r="53" spans="1:6">
      <c r="A53" s="1298" t="s">
        <v>43</v>
      </c>
      <c r="B53" s="1298" t="s">
        <v>44</v>
      </c>
      <c r="C53" s="1299">
        <v>60</v>
      </c>
      <c r="D53" s="1299">
        <v>926311.201</v>
      </c>
      <c r="E53" s="1299">
        <v>138</v>
      </c>
      <c r="F53" s="1299">
        <v>477355.35600000003</v>
      </c>
    </row>
    <row r="54" spans="1:6">
      <c r="A54" s="1298" t="s">
        <v>45</v>
      </c>
      <c r="B54" s="1298" t="s">
        <v>46</v>
      </c>
      <c r="C54" s="1299">
        <v>0</v>
      </c>
      <c r="D54" s="1299">
        <v>0</v>
      </c>
      <c r="E54" s="1299">
        <v>1</v>
      </c>
      <c r="F54" s="1299">
        <v>682636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2991575.23</v>
      </c>
      <c r="E57" s="1299">
        <v>96</v>
      </c>
      <c r="F57" s="1299">
        <v>2012239.15</v>
      </c>
    </row>
    <row r="58" spans="1:6">
      <c r="A58" s="1298" t="s">
        <v>48</v>
      </c>
      <c r="B58" s="1298" t="s">
        <v>50</v>
      </c>
      <c r="C58" s="1299">
        <v>11</v>
      </c>
      <c r="D58" s="1299">
        <v>282076.86700000003</v>
      </c>
      <c r="E58" s="1299">
        <v>19</v>
      </c>
      <c r="F58" s="1299">
        <v>102017.72</v>
      </c>
    </row>
    <row r="59" spans="1:6">
      <c r="A59" s="1298" t="s">
        <v>48</v>
      </c>
      <c r="B59" s="1298" t="s">
        <v>51</v>
      </c>
      <c r="C59" s="1299">
        <v>31</v>
      </c>
      <c r="D59" s="1299">
        <v>1022430.647</v>
      </c>
      <c r="E59" s="1299">
        <v>103</v>
      </c>
      <c r="F59" s="1299">
        <v>3668070.8110000002</v>
      </c>
    </row>
    <row r="60" spans="1:6">
      <c r="A60" s="1298" t="s">
        <v>48</v>
      </c>
      <c r="B60" s="1298" t="s">
        <v>52</v>
      </c>
      <c r="C60" s="1299">
        <v>25</v>
      </c>
      <c r="D60" s="1299">
        <v>831954.40899999999</v>
      </c>
      <c r="E60" s="1299">
        <v>42</v>
      </c>
      <c r="F60" s="1299">
        <v>684877.429</v>
      </c>
    </row>
    <row r="61" spans="1:6">
      <c r="A61" s="1298" t="s">
        <v>48</v>
      </c>
      <c r="B61" s="1298" t="s">
        <v>53</v>
      </c>
      <c r="C61" s="1299">
        <v>61</v>
      </c>
      <c r="D61" s="1299">
        <v>1384487.7120000001</v>
      </c>
      <c r="E61" s="1299">
        <v>149</v>
      </c>
      <c r="F61" s="1299">
        <v>1214025.0319999999</v>
      </c>
    </row>
    <row r="62" spans="1:6">
      <c r="A62" s="1298" t="s">
        <v>48</v>
      </c>
      <c r="B62" s="1298" t="s">
        <v>54</v>
      </c>
      <c r="C62" s="1299">
        <v>5</v>
      </c>
      <c r="D62" s="1299">
        <v>416936.62300000002</v>
      </c>
      <c r="E62" s="1299">
        <v>5</v>
      </c>
      <c r="F62" s="1299">
        <v>54532.271999999997</v>
      </c>
    </row>
    <row r="63" spans="1:6">
      <c r="A63" s="1298" t="s">
        <v>48</v>
      </c>
      <c r="B63" s="1298" t="s">
        <v>28</v>
      </c>
      <c r="C63" s="1299">
        <v>74</v>
      </c>
      <c r="D63" s="1299">
        <v>29713767.359999999</v>
      </c>
      <c r="E63" s="1299">
        <v>81</v>
      </c>
      <c r="F63" s="1299">
        <v>1797427.432</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41094</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46498.576999999997</v>
      </c>
      <c r="E68" s="1302">
        <v>15</v>
      </c>
      <c r="F68" s="1302">
        <v>106080.26700000001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34768379</v>
      </c>
      <c r="E73" s="446"/>
      <c r="F73" s="326"/>
    </row>
    <row r="74" spans="1:6">
      <c r="A74" s="1298" t="s">
        <v>63</v>
      </c>
      <c r="B74" s="1298" t="s">
        <v>639</v>
      </c>
      <c r="C74" s="1312" t="s">
        <v>641</v>
      </c>
      <c r="D74" s="1313">
        <v>4013869</v>
      </c>
      <c r="E74" s="446"/>
      <c r="F74" s="326"/>
    </row>
    <row r="75" spans="1:6">
      <c r="A75" s="1298" t="s">
        <v>64</v>
      </c>
      <c r="B75" s="1298" t="s">
        <v>638</v>
      </c>
      <c r="C75" s="1312" t="s">
        <v>642</v>
      </c>
      <c r="D75" s="1313">
        <v>23943839</v>
      </c>
      <c r="E75" s="446"/>
      <c r="F75" s="326"/>
    </row>
    <row r="76" spans="1:6">
      <c r="A76" s="1298" t="s">
        <v>64</v>
      </c>
      <c r="B76" s="1298" t="s">
        <v>639</v>
      </c>
      <c r="C76" s="1312" t="s">
        <v>643</v>
      </c>
      <c r="D76" s="1313">
        <v>1879318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318156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4587.5986957776749</v>
      </c>
      <c r="C91" s="326"/>
      <c r="D91" s="326"/>
      <c r="E91" s="326"/>
      <c r="F91" s="326"/>
    </row>
    <row r="92" spans="1:6">
      <c r="A92" s="1293" t="s">
        <v>68</v>
      </c>
      <c r="B92" s="1294">
        <v>4308.1368552730492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1342</v>
      </c>
      <c r="C97" s="326"/>
      <c r="D97" s="326"/>
      <c r="E97" s="326"/>
      <c r="F97" s="326"/>
    </row>
    <row r="98" spans="1:6">
      <c r="A98" s="1298" t="s">
        <v>71</v>
      </c>
      <c r="B98" s="1299">
        <v>2</v>
      </c>
      <c r="C98" s="326"/>
      <c r="D98" s="326"/>
      <c r="E98" s="326"/>
      <c r="F98" s="326"/>
    </row>
    <row r="99" spans="1:6">
      <c r="A99" s="1298" t="s">
        <v>72</v>
      </c>
      <c r="B99" s="1299">
        <v>211</v>
      </c>
      <c r="C99" s="326"/>
      <c r="D99" s="326"/>
      <c r="E99" s="326"/>
      <c r="F99" s="326"/>
    </row>
    <row r="100" spans="1:6">
      <c r="A100" s="1298" t="s">
        <v>73</v>
      </c>
      <c r="B100" s="1299">
        <v>301</v>
      </c>
      <c r="C100" s="326"/>
      <c r="D100" s="326"/>
      <c r="E100" s="326"/>
      <c r="F100" s="326"/>
    </row>
    <row r="101" spans="1:6">
      <c r="A101" s="1298" t="s">
        <v>74</v>
      </c>
      <c r="B101" s="1299">
        <v>150</v>
      </c>
      <c r="C101" s="326"/>
      <c r="D101" s="326"/>
      <c r="E101" s="326"/>
      <c r="F101" s="326"/>
    </row>
    <row r="102" spans="1:6">
      <c r="A102" s="1298" t="s">
        <v>75</v>
      </c>
      <c r="B102" s="1299">
        <v>64</v>
      </c>
      <c r="C102" s="326"/>
      <c r="D102" s="326"/>
      <c r="E102" s="326"/>
      <c r="F102" s="326"/>
    </row>
    <row r="103" spans="1:6">
      <c r="A103" s="1298" t="s">
        <v>76</v>
      </c>
      <c r="B103" s="1299">
        <v>162</v>
      </c>
      <c r="C103" s="326"/>
      <c r="D103" s="326"/>
      <c r="E103" s="326"/>
      <c r="F103" s="326"/>
    </row>
    <row r="104" spans="1:6">
      <c r="A104" s="1298" t="s">
        <v>77</v>
      </c>
      <c r="B104" s="1299">
        <v>1769</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12</v>
      </c>
      <c r="C123" s="1299">
        <v>47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253</v>
      </c>
      <c r="C129" s="326"/>
      <c r="D129" s="326"/>
      <c r="E129" s="326"/>
      <c r="F129" s="326"/>
    </row>
    <row r="130" spans="1:6">
      <c r="A130" s="1298" t="s">
        <v>289</v>
      </c>
      <c r="B130" s="1299">
        <v>5</v>
      </c>
      <c r="C130" s="326"/>
      <c r="D130" s="326"/>
      <c r="E130" s="326"/>
      <c r="F130" s="326"/>
    </row>
    <row r="131" spans="1:6">
      <c r="A131" s="1298" t="s">
        <v>290</v>
      </c>
      <c r="B131" s="1299">
        <v>1</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199806.29140487697</v>
      </c>
      <c r="C3" s="43" t="s">
        <v>169</v>
      </c>
      <c r="D3" s="43"/>
      <c r="E3" s="154"/>
      <c r="F3" s="43"/>
      <c r="G3" s="43"/>
      <c r="H3" s="43"/>
      <c r="I3" s="43"/>
      <c r="J3" s="43"/>
      <c r="K3" s="96"/>
    </row>
    <row r="4" spans="1:11">
      <c r="A4" s="354" t="s">
        <v>170</v>
      </c>
      <c r="B4" s="49">
        <f>IF(ISERROR('SEAP template'!B78+'SEAP template'!C78),0,'SEAP template'!B78+'SEAP template'!C78)</f>
        <v>47416.485551050726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8843.1441176470598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0.21281257418055849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12633.063025210085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55029.642857142855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0.22956832661999207</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682.63599999999997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682.63599999999997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0.21281257418055849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145.27352438831971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14194.130939999999</v>
      </c>
      <c r="C5" s="17">
        <f>IF(ISERROR('Eigen informatie GS &amp; warmtenet'!B59),0,'Eigen informatie GS &amp; warmtenet'!B59)</f>
        <v>0</v>
      </c>
      <c r="D5" s="30">
        <f>(SUM(HH_hh_gas_kWh,HH_rest_gas_kWh)/1000)*0.902</f>
        <v>33105.501064680007</v>
      </c>
      <c r="E5" s="17">
        <f>B32*B41</f>
        <v>1862.1290298383644</v>
      </c>
      <c r="F5" s="17">
        <f>B36*B45</f>
        <v>30020.001818361434</v>
      </c>
      <c r="G5" s="18"/>
      <c r="H5" s="17"/>
      <c r="I5" s="17"/>
      <c r="J5" s="17">
        <f>B35*B44+C35*C44</f>
        <v>119.92858373779828</v>
      </c>
      <c r="K5" s="17"/>
      <c r="L5" s="17"/>
      <c r="M5" s="17"/>
      <c r="N5" s="17">
        <f>B34*B43+C34*C43</f>
        <v>6487.5549945392204</v>
      </c>
      <c r="O5" s="17">
        <f>B52*B53*B54</f>
        <v>595.18746581610958</v>
      </c>
      <c r="P5" s="17">
        <f>B60*B61*B62/1000-B60*B61*B62/1000/B63</f>
        <v>316.01877923055071</v>
      </c>
    </row>
    <row r="6" spans="1:16">
      <c r="A6" s="16" t="s">
        <v>604</v>
      </c>
      <c r="B6" s="778">
        <f>kWh_PV_kleiner_dan_10kW</f>
        <v>4587.5986957776749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18781.729635777672</v>
      </c>
      <c r="C8" s="21">
        <f>C5</f>
        <v>0</v>
      </c>
      <c r="D8" s="21">
        <f>D5</f>
        <v>33105.501064680007</v>
      </c>
      <c r="E8" s="21">
        <f>E5</f>
        <v>1862.1290298383644</v>
      </c>
      <c r="F8" s="21">
        <f>F5</f>
        <v>30020.001818361434</v>
      </c>
      <c r="G8" s="21"/>
      <c r="H8" s="21"/>
      <c r="I8" s="21"/>
      <c r="J8" s="21">
        <f>J5</f>
        <v>119.92858373779828</v>
      </c>
      <c r="K8" s="21"/>
      <c r="L8" s="21">
        <f>L5</f>
        <v>0</v>
      </c>
      <c r="M8" s="21">
        <f>M5</f>
        <v>0</v>
      </c>
      <c r="N8" s="21">
        <f>N5</f>
        <v>6487.5549945392204</v>
      </c>
      <c r="O8" s="21">
        <f>O5</f>
        <v>595.18746581610958</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0.21281257418055849</v>
      </c>
      <c r="C10" s="25">
        <f ca="1">'EF ele_warmte'!B22</f>
        <v>0.22956832661999207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3996.9882313531298</v>
      </c>
      <c r="C12" s="23">
        <f ca="1">C10*C8</f>
        <v>0</v>
      </c>
      <c r="D12" s="23">
        <f>D8*D10</f>
        <v>6687.3112150653624</v>
      </c>
      <c r="E12" s="23">
        <f>E10*E8</f>
        <v>422.70328977330871</v>
      </c>
      <c r="F12" s="23">
        <f>F10*F8</f>
        <v>8015.3404855025037</v>
      </c>
      <c r="G12" s="23"/>
      <c r="H12" s="23"/>
      <c r="I12" s="23"/>
      <c r="J12" s="23">
        <f>J10*J8</f>
        <v>42.454718643180591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4580</v>
      </c>
      <c r="C26" s="36"/>
      <c r="D26" s="226"/>
    </row>
    <row r="27" spans="1:7" s="15" customFormat="1">
      <c r="A27" s="228" t="s">
        <v>806</v>
      </c>
      <c r="B27" s="37">
        <f>SUM(HH_hh_gas_aantal,HH_rest_gas_aantal)</f>
        <v>2517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2391.15</v>
      </c>
      <c r="C31" s="166" t="s">
        <v>110</v>
      </c>
      <c r="D31" s="231"/>
      <c r="G31" s="15"/>
    </row>
    <row r="32" spans="1:7">
      <c r="A32" s="169" t="s">
        <v>72</v>
      </c>
      <c r="B32" s="166">
        <f>IF((B21*($B$26-($B$27-0.05*$B$27)-$B$60))&lt;0,0,B21*($B$26-($B$27-0.05*$B$27)-$B$60))</f>
        <v>34.272172700400922</v>
      </c>
      <c r="C32" s="166" t="s">
        <v>110</v>
      </c>
      <c r="D32" s="231"/>
      <c r="G32" s="15"/>
    </row>
    <row r="33" spans="1:7">
      <c r="A33" s="169" t="s">
        <v>73</v>
      </c>
      <c r="B33" s="166">
        <f>IF((B22*($B$26-($B$27-0.05*$B$27)-$B$60))&lt;0,0,B22*($B$26-($B$27-0.05*$B$27)-$B$60))</f>
        <v>556.51220787146985</v>
      </c>
      <c r="C33" s="166" t="s">
        <v>110</v>
      </c>
      <c r="D33" s="231"/>
      <c r="G33" s="15"/>
    </row>
    <row r="34" spans="1:7">
      <c r="A34" s="169" t="s">
        <v>74</v>
      </c>
      <c r="B34" s="166">
        <f>IF((B24*($B$26-($B$27-0.05*$B$27)-$B$60))&lt;0,0,B24*($B$26-($B$27-0.05*$B$27)-$B$60))</f>
        <v>106.69083775360154</v>
      </c>
      <c r="C34" s="166">
        <f>B26*C24</f>
        <v>938.46920431397234</v>
      </c>
      <c r="D34" s="231"/>
      <c r="G34" s="15"/>
    </row>
    <row r="35" spans="1:7">
      <c r="A35" s="169" t="s">
        <v>76</v>
      </c>
      <c r="B35" s="166">
        <f>IF((B19*($B$26-($B$27-0.05*$B$27)-$B$60))&lt;0,0,B19*($B$26-($B$27-0.05*$B$27)-$B$60))</f>
        <v>14.898031765768126</v>
      </c>
      <c r="C35" s="166">
        <f>B35/2</f>
        <v>7.4490158828840629</v>
      </c>
      <c r="D35" s="232"/>
      <c r="G35" s="15"/>
    </row>
    <row r="36" spans="1:7">
      <c r="A36" s="169" t="s">
        <v>77</v>
      </c>
      <c r="B36" s="166">
        <f>IF((B18*($B$26-($B$27-0.05*$B$27)-$B$60))&lt;0,0,B18*($B$26-($B$27-0.05*$B$27)-$B$60))</f>
        <v>1446.4767499087591</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300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9533.1898459999993</v>
      </c>
      <c r="C5" s="17">
        <f>IF(ISERROR('Eigen informatie GS &amp; warmtenet'!B60),0,'Eigen informatie GS &amp; warmtenet'!B60)</f>
        <v>0</v>
      </c>
      <c r="D5" s="30">
        <f>SUM(D6:D12)</f>
        <v>33052.192420895997</v>
      </c>
      <c r="E5" s="17">
        <f>SUM(E6:E12)</f>
        <v>143.44850004519731</v>
      </c>
      <c r="F5" s="17">
        <f>SUM(F6:F12)</f>
        <v>1114.6937623596014</v>
      </c>
      <c r="G5" s="18"/>
      <c r="H5" s="17"/>
      <c r="I5" s="17"/>
      <c r="J5" s="17">
        <f>SUM(J6:J12)</f>
        <v>3.7604556302933911E-2</v>
      </c>
      <c r="K5" s="17"/>
      <c r="L5" s="17"/>
      <c r="M5" s="17"/>
      <c r="N5" s="17">
        <f>SUM(N6:N12)</f>
        <v>1470.4527155277242</v>
      </c>
      <c r="O5" s="17">
        <f>B38*B39*B40</f>
        <v>24.486303829205774</v>
      </c>
      <c r="P5" s="17">
        <f>B46*B47*B48/1000-B46*B47*B48/1000/B49</f>
        <v>105.07827661299004</v>
      </c>
      <c r="R5" s="32"/>
    </row>
    <row r="6" spans="1:18">
      <c r="A6" s="32" t="s">
        <v>53</v>
      </c>
      <c r="B6" s="37">
        <f>B26</f>
        <v>1214.0250319999998</v>
      </c>
      <c r="C6" s="33"/>
      <c r="D6" s="37">
        <f>IF(ISERROR(TER_kantoor_gas_kWh/1000),0,TER_kantoor_gas_kWh/1000)*0.902</f>
        <v>1248.8079162240001</v>
      </c>
      <c r="E6" s="33">
        <f>$C$26*'E Balans VL '!I12/100/3.6*1000000</f>
        <v>9.7688701854129221</v>
      </c>
      <c r="F6" s="33">
        <f>$C$26*('E Balans VL '!L12+'E Balans VL '!N12)/100/3.6*1000000</f>
        <v>148.42733129646035</v>
      </c>
      <c r="G6" s="34"/>
      <c r="H6" s="33"/>
      <c r="I6" s="33"/>
      <c r="J6" s="33">
        <f>$C$26*('E Balans VL '!D12+'E Balans VL '!E12)/100/3.6*1000000</f>
        <v>0</v>
      </c>
      <c r="K6" s="33"/>
      <c r="L6" s="33"/>
      <c r="M6" s="33"/>
      <c r="N6" s="33">
        <f>$C$26*'E Balans VL '!Y12/100/3.6*1000000</f>
        <v>0.65247867043789343</v>
      </c>
      <c r="O6" s="33"/>
      <c r="P6" s="33"/>
      <c r="R6" s="32"/>
    </row>
    <row r="7" spans="1:18">
      <c r="A7" s="32" t="s">
        <v>52</v>
      </c>
      <c r="B7" s="37">
        <f t="shared" ref="B7:B12" si="0">B27</f>
        <v>684.87742900000001</v>
      </c>
      <c r="C7" s="33"/>
      <c r="D7" s="37">
        <f>IF(ISERROR(TER_horeca_gas_kWh/1000),0,TER_horeca_gas_kWh/1000)*0.902</f>
        <v>750.42287691799993</v>
      </c>
      <c r="E7" s="33">
        <f>$C$27*'E Balans VL '!I9/100/3.6*1000000</f>
        <v>7.3539018225144286</v>
      </c>
      <c r="F7" s="33">
        <f>$C$27*('E Balans VL '!L9+'E Balans VL '!N9)/100/3.6*1000000</f>
        <v>82.374147326383294</v>
      </c>
      <c r="G7" s="34"/>
      <c r="H7" s="33"/>
      <c r="I7" s="33"/>
      <c r="J7" s="33">
        <f>$C$27*('E Balans VL '!D9+'E Balans VL '!E9)/100/3.6*1000000</f>
        <v>0</v>
      </c>
      <c r="K7" s="33"/>
      <c r="L7" s="33"/>
      <c r="M7" s="33"/>
      <c r="N7" s="33">
        <f>$C$27*'E Balans VL '!Y9/100/3.6*1000000</f>
        <v>0.10267700746103904</v>
      </c>
      <c r="O7" s="33"/>
      <c r="P7" s="33"/>
      <c r="R7" s="32"/>
    </row>
    <row r="8" spans="1:18">
      <c r="A8" s="6" t="s">
        <v>51</v>
      </c>
      <c r="B8" s="37">
        <f t="shared" si="0"/>
        <v>3668.070811</v>
      </c>
      <c r="C8" s="33"/>
      <c r="D8" s="37">
        <f>IF(ISERROR(TER_handel_gas_kWh/1000),0,TER_handel_gas_kWh/1000)*0.902</f>
        <v>922.23244359400007</v>
      </c>
      <c r="E8" s="33">
        <f>$C$28*'E Balans VL '!I13/100/3.6*1000000</f>
        <v>98.439790877389015</v>
      </c>
      <c r="F8" s="33">
        <f>$C$28*('E Balans VL '!L13+'E Balans VL '!N13)/100/3.6*1000000</f>
        <v>350.04700822683509</v>
      </c>
      <c r="G8" s="34"/>
      <c r="H8" s="33"/>
      <c r="I8" s="33"/>
      <c r="J8" s="33">
        <f>$C$28*('E Balans VL '!D13+'E Balans VL '!E13)/100/3.6*1000000</f>
        <v>0</v>
      </c>
      <c r="K8" s="33"/>
      <c r="L8" s="33"/>
      <c r="M8" s="33"/>
      <c r="N8" s="33">
        <f>$C$28*'E Balans VL '!Y13/100/3.6*1000000</f>
        <v>1.4540649768594918</v>
      </c>
      <c r="O8" s="33"/>
      <c r="P8" s="33"/>
      <c r="R8" s="32"/>
    </row>
    <row r="9" spans="1:18">
      <c r="A9" s="32" t="s">
        <v>50</v>
      </c>
      <c r="B9" s="37">
        <f t="shared" si="0"/>
        <v>102.01772</v>
      </c>
      <c r="C9" s="33"/>
      <c r="D9" s="37">
        <f>IF(ISERROR(TER_gezond_gas_kWh/1000),0,TER_gezond_gas_kWh/1000)*0.902</f>
        <v>254.43333403400004</v>
      </c>
      <c r="E9" s="33">
        <f>$C$29*'E Balans VL '!I10/100/3.6*1000000</f>
        <v>0.19121442569210162</v>
      </c>
      <c r="F9" s="33">
        <f>$C$29*('E Balans VL '!L10+'E Balans VL '!N10)/100/3.6*1000000</f>
        <v>8.386787423970695</v>
      </c>
      <c r="G9" s="34"/>
      <c r="H9" s="33"/>
      <c r="I9" s="33"/>
      <c r="J9" s="33">
        <f>$C$29*('E Balans VL '!D10+'E Balans VL '!E10)/100/3.6*1000000</f>
        <v>0</v>
      </c>
      <c r="K9" s="33"/>
      <c r="L9" s="33"/>
      <c r="M9" s="33"/>
      <c r="N9" s="33">
        <f>$C$29*'E Balans VL '!Y10/100/3.6*1000000</f>
        <v>0.79377397775601855</v>
      </c>
      <c r="O9" s="33"/>
      <c r="P9" s="33"/>
      <c r="R9" s="32"/>
    </row>
    <row r="10" spans="1:18">
      <c r="A10" s="32" t="s">
        <v>49</v>
      </c>
      <c r="B10" s="37">
        <f t="shared" si="0"/>
        <v>2012.2391499999999</v>
      </c>
      <c r="C10" s="33"/>
      <c r="D10" s="37">
        <f>IF(ISERROR(TER_ander_gas_kWh/1000),0,TER_ander_gas_kWh/1000)*0.902</f>
        <v>2698.4008574600002</v>
      </c>
      <c r="E10" s="33">
        <f>$C$30*'E Balans VL '!I14/100/3.6*1000000</f>
        <v>3.1018870394292595</v>
      </c>
      <c r="F10" s="33">
        <f>$C$30*('E Balans VL '!L14+'E Balans VL '!N14)/100/3.6*1000000</f>
        <v>312.40068354665857</v>
      </c>
      <c r="G10" s="34"/>
      <c r="H10" s="33"/>
      <c r="I10" s="33"/>
      <c r="J10" s="33">
        <f>$C$30*('E Balans VL '!D14+'E Balans VL '!E14)/100/3.6*1000000</f>
        <v>3.4159881728560777E-2</v>
      </c>
      <c r="K10" s="33"/>
      <c r="L10" s="33"/>
      <c r="M10" s="33"/>
      <c r="N10" s="33">
        <f>$C$30*'E Balans VL '!Y14/100/3.6*1000000</f>
        <v>1331.2329298593418</v>
      </c>
      <c r="O10" s="33"/>
      <c r="P10" s="33"/>
      <c r="R10" s="32"/>
    </row>
    <row r="11" spans="1:18">
      <c r="A11" s="32" t="s">
        <v>54</v>
      </c>
      <c r="B11" s="37">
        <f t="shared" si="0"/>
        <v>54.532271999999999</v>
      </c>
      <c r="C11" s="33"/>
      <c r="D11" s="37">
        <f>IF(ISERROR(TER_onderwijs_gas_kWh/1000),0,TER_onderwijs_gas_kWh/1000)*0.902</f>
        <v>376.07683394600002</v>
      </c>
      <c r="E11" s="33">
        <f>$C$31*'E Balans VL '!I11/100/3.6*1000000</f>
        <v>1.3909453944951986</v>
      </c>
      <c r="F11" s="33">
        <f>$C$31*('E Balans VL '!L11+'E Balans VL '!N11)/100/3.6*1000000</f>
        <v>6.5580189852903468</v>
      </c>
      <c r="G11" s="34"/>
      <c r="H11" s="33"/>
      <c r="I11" s="33"/>
      <c r="J11" s="33">
        <f>$C$31*('E Balans VL '!D11+'E Balans VL '!E11)/100/3.6*1000000</f>
        <v>0</v>
      </c>
      <c r="K11" s="33"/>
      <c r="L11" s="33"/>
      <c r="M11" s="33"/>
      <c r="N11" s="33">
        <f>$C$31*'E Balans VL '!Y11/100/3.6*1000000</f>
        <v>0.12127844232909785</v>
      </c>
      <c r="O11" s="33"/>
      <c r="P11" s="33"/>
      <c r="R11" s="32"/>
    </row>
    <row r="12" spans="1:18">
      <c r="A12" s="32" t="s">
        <v>254</v>
      </c>
      <c r="B12" s="37">
        <f t="shared" si="0"/>
        <v>1797.427432</v>
      </c>
      <c r="C12" s="33"/>
      <c r="D12" s="37">
        <f>IF(ISERROR(TER_rest_gas_kWh/1000),0,TER_rest_gas_kWh/1000)*0.902</f>
        <v>26801.818158719998</v>
      </c>
      <c r="E12" s="33">
        <f>$C$32*'E Balans VL '!I8/100/3.6*1000000</f>
        <v>23.201890300264374</v>
      </c>
      <c r="F12" s="33">
        <f>$C$32*('E Balans VL '!L8+'E Balans VL '!N8)/100/3.6*1000000</f>
        <v>206.4997855540031</v>
      </c>
      <c r="G12" s="34"/>
      <c r="H12" s="33"/>
      <c r="I12" s="33"/>
      <c r="J12" s="33">
        <f>$C$32*('E Balans VL '!D8+'E Balans VL '!E8)/100/3.6*1000000</f>
        <v>3.4446745743731372E-3</v>
      </c>
      <c r="K12" s="33"/>
      <c r="L12" s="33"/>
      <c r="M12" s="33"/>
      <c r="N12" s="33">
        <f>$C$32*'E Balans VL '!Y8/100/3.6*1000000</f>
        <v>136.09551259353881</v>
      </c>
      <c r="O12" s="33"/>
      <c r="P12" s="33"/>
      <c r="R12" s="32"/>
    </row>
    <row r="13" spans="1:18">
      <c r="A13" s="16" t="s">
        <v>471</v>
      </c>
      <c r="B13" s="245">
        <f ca="1">'lokale energieproductie'!N42+'lokale energieproductie'!N35</f>
        <v>0</v>
      </c>
      <c r="C13" s="245">
        <f ca="1">'lokale energieproductie'!O42+'lokale energieproductie'!O35</f>
        <v>0</v>
      </c>
      <c r="D13" s="304">
        <f ca="1">('lokale energieproductie'!P35+'lokale energieproductie'!P42)*(-1)</f>
        <v>0</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9533.1898459999993</v>
      </c>
      <c r="C16" s="21">
        <f t="shared" ca="1" si="1"/>
        <v>0</v>
      </c>
      <c r="D16" s="21">
        <f t="shared" ca="1" si="1"/>
        <v>33052.192420895997</v>
      </c>
      <c r="E16" s="21">
        <f t="shared" si="1"/>
        <v>143.44850004519731</v>
      </c>
      <c r="F16" s="21">
        <f t="shared" ca="1" si="1"/>
        <v>1114.6937623596014</v>
      </c>
      <c r="G16" s="21">
        <f t="shared" si="1"/>
        <v>0</v>
      </c>
      <c r="H16" s="21">
        <f t="shared" si="1"/>
        <v>0</v>
      </c>
      <c r="I16" s="21">
        <f t="shared" si="1"/>
        <v>0</v>
      </c>
      <c r="J16" s="21">
        <f t="shared" si="1"/>
        <v>3.7604556302933911E-2</v>
      </c>
      <c r="K16" s="21">
        <f t="shared" si="1"/>
        <v>0</v>
      </c>
      <c r="L16" s="21">
        <f t="shared" ca="1" si="1"/>
        <v>0</v>
      </c>
      <c r="M16" s="21">
        <f t="shared" si="1"/>
        <v>0</v>
      </c>
      <c r="N16" s="21">
        <f t="shared" ca="1" si="1"/>
        <v>1470.4527155277242</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0.21281257418055849</v>
      </c>
      <c r="C18" s="25">
        <f ca="1">'EF ele_warmte'!B22</f>
        <v>0.22956832661999207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2028.7826712792219</v>
      </c>
      <c r="C20" s="23">
        <f t="shared" ref="C20:P20" ca="1" si="2">C16*C18</f>
        <v>0</v>
      </c>
      <c r="D20" s="23">
        <f t="shared" ca="1" si="2"/>
        <v>6676.5428690209919</v>
      </c>
      <c r="E20" s="23">
        <f t="shared" si="2"/>
        <v>32.56280951025979</v>
      </c>
      <c r="F20" s="23">
        <f t="shared" ca="1" si="2"/>
        <v>297.62323455001359</v>
      </c>
      <c r="G20" s="23">
        <f t="shared" si="2"/>
        <v>0</v>
      </c>
      <c r="H20" s="23">
        <f t="shared" si="2"/>
        <v>0</v>
      </c>
      <c r="I20" s="23">
        <f t="shared" si="2"/>
        <v>0</v>
      </c>
      <c r="J20" s="23">
        <f t="shared" si="2"/>
        <v>1.3312012931238603E-2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1214.0250319999998</v>
      </c>
      <c r="C26" s="39">
        <f>IF(ISERROR(B26*3.6/1000000/'E Balans VL '!Z12*100),0,B26*3.6/1000000/'E Balans VL '!Z12*100)</f>
        <v>2.5754430348522084E-2</v>
      </c>
      <c r="D26" s="235" t="s">
        <v>698</v>
      </c>
      <c r="F26" s="6"/>
    </row>
    <row r="27" spans="1:18">
      <c r="A27" s="229" t="s">
        <v>52</v>
      </c>
      <c r="B27" s="33">
        <f>IF(ISERROR(TER_horeca_ele_kWh/1000),0,TER_horeca_ele_kWh/1000)</f>
        <v>684.87742900000001</v>
      </c>
      <c r="C27" s="39">
        <f>IF(ISERROR(B27*3.6/1000000/'E Balans VL '!Z9*100),0,B27*3.6/1000000/'E Balans VL '!Z9*100)</f>
        <v>5.1577337394895943E-2</v>
      </c>
      <c r="D27" s="235" t="s">
        <v>698</v>
      </c>
      <c r="F27" s="6"/>
    </row>
    <row r="28" spans="1:18">
      <c r="A28" s="169" t="s">
        <v>51</v>
      </c>
      <c r="B28" s="33">
        <f>IF(ISERROR(TER_handel_ele_kWh/1000),0,TER_handel_ele_kWh/1000)</f>
        <v>3668.070811</v>
      </c>
      <c r="C28" s="39">
        <f>IF(ISERROR(B28*3.6/1000000/'E Balans VL '!Z13*100),0,B28*3.6/1000000/'E Balans VL '!Z13*100)</f>
        <v>0.10647109865439812</v>
      </c>
      <c r="D28" s="235" t="s">
        <v>698</v>
      </c>
      <c r="F28" s="6"/>
    </row>
    <row r="29" spans="1:18">
      <c r="A29" s="229" t="s">
        <v>50</v>
      </c>
      <c r="B29" s="33">
        <f>IF(ISERROR(TER_gezond_ele_kWh/1000),0,TER_gezond_ele_kWh/1000)</f>
        <v>102.01772</v>
      </c>
      <c r="C29" s="39">
        <f>IF(ISERROR(B29*3.6/1000000/'E Balans VL '!Z10*100),0,B29*3.6/1000000/'E Balans VL '!Z10*100)</f>
        <v>1.0288608723086248E-2</v>
      </c>
      <c r="D29" s="235" t="s">
        <v>698</v>
      </c>
      <c r="F29" s="6"/>
    </row>
    <row r="30" spans="1:18">
      <c r="A30" s="229" t="s">
        <v>49</v>
      </c>
      <c r="B30" s="33">
        <f>IF(ISERROR(TER_ander_ele_kWh/1000),0,TER_ander_ele_kWh/1000)</f>
        <v>2012.2391499999999</v>
      </c>
      <c r="C30" s="39">
        <f>IF(ISERROR(B30*3.6/1000000/'E Balans VL '!Z14*100),0,B30*3.6/1000000/'E Balans VL '!Z14*100)</f>
        <v>0.14601540230796525</v>
      </c>
      <c r="D30" s="235" t="s">
        <v>698</v>
      </c>
      <c r="F30" s="6"/>
    </row>
    <row r="31" spans="1:18">
      <c r="A31" s="229" t="s">
        <v>54</v>
      </c>
      <c r="B31" s="33">
        <f>IF(ISERROR(TER_onderwijs_ele_kWh/1000),0,TER_onderwijs_ele_kWh/1000)</f>
        <v>54.532271999999999</v>
      </c>
      <c r="C31" s="39">
        <f>IF(ISERROR(B31*3.6/1000000/'E Balans VL '!Z11*100),0,B31*3.6/1000000/'E Balans VL '!Z11*100)</f>
        <v>1.5543918177517706E-2</v>
      </c>
      <c r="D31" s="235" t="s">
        <v>698</v>
      </c>
    </row>
    <row r="32" spans="1:18">
      <c r="A32" s="229" t="s">
        <v>254</v>
      </c>
      <c r="B32" s="33">
        <f>IF(ISERROR(TER_rest_ele_kWh/1000),0,TER_rest_ele_kWh/1000)</f>
        <v>1797.427432</v>
      </c>
      <c r="C32" s="39">
        <f>IF(ISERROR(B32*3.6/1000000/'E Balans VL '!Z8*100),0,B32*3.6/1000000/'E Balans VL '!Z8*100)</f>
        <v>1.4724159404116997E-2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159758.55095700003</v>
      </c>
      <c r="C5" s="17">
        <f>IF(ISERROR('Eigen informatie GS &amp; warmtenet'!B61),0,'Eigen informatie GS &amp; warmtenet'!B61)</f>
        <v>0</v>
      </c>
      <c r="D5" s="30">
        <f>SUM(D6:D15)</f>
        <v>81303.817207162007</v>
      </c>
      <c r="E5" s="17">
        <f>SUM(E6:E15)</f>
        <v>1267.6877319075097</v>
      </c>
      <c r="F5" s="17">
        <f>SUM(F6:F15)</f>
        <v>11404.870659339058</v>
      </c>
      <c r="G5" s="18"/>
      <c r="H5" s="17"/>
      <c r="I5" s="17"/>
      <c r="J5" s="17">
        <f>SUM(J6:J15)</f>
        <v>36.629601535414494</v>
      </c>
      <c r="K5" s="17"/>
      <c r="L5" s="17"/>
      <c r="M5" s="17"/>
      <c r="N5" s="17">
        <f>SUM(N6:N15)</f>
        <v>9196.4273268073739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1008.8324590000001</v>
      </c>
      <c r="C8" s="33"/>
      <c r="D8" s="37">
        <f>IF( ISERROR(IND_metaal_Gas_kWH/1000),0,IND_metaal_Gas_kWH/1000)*0.902</f>
        <v>37.064199260000002</v>
      </c>
      <c r="E8" s="33">
        <f>C30*'E Balans VL '!I18/100/3.6*1000000</f>
        <v>7.2780181268898465</v>
      </c>
      <c r="F8" s="33">
        <f>C30*'E Balans VL '!L18/100/3.6*1000000+C30*'E Balans VL '!N18/100/3.6*1000000</f>
        <v>95.416949053899785</v>
      </c>
      <c r="G8" s="34"/>
      <c r="H8" s="33"/>
      <c r="I8" s="33"/>
      <c r="J8" s="40">
        <f>C30*'E Balans VL '!D18/100/3.6*1000000+C30*'E Balans VL '!E18/100/3.6*1000000</f>
        <v>1.0146895497874859</v>
      </c>
      <c r="K8" s="33"/>
      <c r="L8" s="33"/>
      <c r="M8" s="33"/>
      <c r="N8" s="33">
        <f>C30*'E Balans VL '!Y18/100/3.6*1000000</f>
        <v>12.754311388935035</v>
      </c>
      <c r="O8" s="33"/>
      <c r="P8" s="33"/>
      <c r="R8" s="32"/>
    </row>
    <row r="9" spans="1:18">
      <c r="A9" s="6" t="s">
        <v>32</v>
      </c>
      <c r="B9" s="37">
        <f t="shared" si="0"/>
        <v>2844.2054579999999</v>
      </c>
      <c r="C9" s="33"/>
      <c r="D9" s="37">
        <f>IF( ISERROR(IND_andere_gas_kWh/1000),0,IND_andere_gas_kWh/1000)*0.902</f>
        <v>2173.5089263580003</v>
      </c>
      <c r="E9" s="33">
        <f>C31*'E Balans VL '!I19/100/3.6*1000000</f>
        <v>788.16736420348104</v>
      </c>
      <c r="F9" s="33">
        <f>C31*'E Balans VL '!L19/100/3.6*1000000+C31*'E Balans VL '!N19/100/3.6*1000000</f>
        <v>2357.2836299657642</v>
      </c>
      <c r="G9" s="34"/>
      <c r="H9" s="33"/>
      <c r="I9" s="33"/>
      <c r="J9" s="40">
        <f>C31*'E Balans VL '!D19/100/3.6*1000000+C31*'E Balans VL '!E19/100/3.6*1000000</f>
        <v>0</v>
      </c>
      <c r="K9" s="33"/>
      <c r="L9" s="33"/>
      <c r="M9" s="33"/>
      <c r="N9" s="33">
        <f>C31*'E Balans VL '!Y19/100/3.6*1000000</f>
        <v>206.45452785191702</v>
      </c>
      <c r="O9" s="33"/>
      <c r="P9" s="33"/>
      <c r="R9" s="32"/>
    </row>
    <row r="10" spans="1:18">
      <c r="A10" s="6" t="s">
        <v>40</v>
      </c>
      <c r="B10" s="37">
        <f t="shared" si="0"/>
        <v>151523.8444</v>
      </c>
      <c r="C10" s="33"/>
      <c r="D10" s="37">
        <f>IF( ISERROR(IND_voed_gas_kWh/1000),0,IND_voed_gas_kWh/1000)*0.902</f>
        <v>71963.007159780012</v>
      </c>
      <c r="E10" s="33">
        <f>C32*'E Balans VL '!I20/100/3.6*1000000</f>
        <v>268.24852900465362</v>
      </c>
      <c r="F10" s="33">
        <f>C32*'E Balans VL '!L20/100/3.6*1000000+C32*'E Balans VL '!N20/100/3.6*1000000</f>
        <v>8183.630541386513</v>
      </c>
      <c r="G10" s="34"/>
      <c r="H10" s="33"/>
      <c r="I10" s="33"/>
      <c r="J10" s="40">
        <f>C32*'E Balans VL '!D20/100/3.6*1000000+C32*'E Balans VL '!E20/100/3.6*1000000</f>
        <v>0</v>
      </c>
      <c r="K10" s="33"/>
      <c r="L10" s="33"/>
      <c r="M10" s="33"/>
      <c r="N10" s="33">
        <f>C32*'E Balans VL '!Y20/100/3.6*1000000</f>
        <v>8804.6925616594472</v>
      </c>
      <c r="O10" s="33"/>
      <c r="P10" s="33"/>
      <c r="R10" s="32"/>
    </row>
    <row r="11" spans="1:18">
      <c r="A11" s="6" t="s">
        <v>39</v>
      </c>
      <c r="B11" s="37">
        <f t="shared" si="0"/>
        <v>70.569312000000011</v>
      </c>
      <c r="C11" s="33"/>
      <c r="D11" s="37">
        <f>IF( ISERROR(IND_textiel_gas_kWh/1000),0,IND_textiel_gas_kWh/1000)*0.902</f>
        <v>0</v>
      </c>
      <c r="E11" s="33">
        <f>C33*'E Balans VL '!I21/100/3.6*1000000</f>
        <v>0.24876414953962883</v>
      </c>
      <c r="F11" s="33">
        <f>C33*'E Balans VL '!L21/100/3.6*1000000+C33*'E Balans VL '!N21/100/3.6*1000000</f>
        <v>2.0713148338210092</v>
      </c>
      <c r="G11" s="34"/>
      <c r="H11" s="33"/>
      <c r="I11" s="33"/>
      <c r="J11" s="40">
        <f>C33*'E Balans VL '!D21/100/3.6*1000000+C33*'E Balans VL '!E21/100/3.6*1000000</f>
        <v>0</v>
      </c>
      <c r="K11" s="33"/>
      <c r="L11" s="33"/>
      <c r="M11" s="33"/>
      <c r="N11" s="33">
        <f>C33*'E Balans VL '!Y21/100/3.6*1000000</f>
        <v>3.1092737849857506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4311.0993279999993</v>
      </c>
      <c r="C15" s="33"/>
      <c r="D15" s="37">
        <f>IF( ISERROR(IND_rest_gas_kWh/1000),0,IND_rest_gas_kWh/1000)*0.902</f>
        <v>7130.2369217640007</v>
      </c>
      <c r="E15" s="33">
        <f>C37*'E Balans VL '!I15/100/3.6*1000000</f>
        <v>203.74505642294559</v>
      </c>
      <c r="F15" s="33">
        <f>C37*'E Balans VL '!L15/100/3.6*1000000+C37*'E Balans VL '!N15/100/3.6*1000000</f>
        <v>766.46822409905838</v>
      </c>
      <c r="G15" s="34"/>
      <c r="H15" s="33"/>
      <c r="I15" s="33"/>
      <c r="J15" s="40">
        <f>C37*'E Balans VL '!D15/100/3.6*1000000+C37*'E Balans VL '!E15/100/3.6*1000000</f>
        <v>35.61491198562701</v>
      </c>
      <c r="K15" s="33"/>
      <c r="L15" s="33"/>
      <c r="M15" s="33"/>
      <c r="N15" s="33">
        <f>C37*'E Balans VL '!Y15/100/3.6*1000000</f>
        <v>169.41665212208977</v>
      </c>
      <c r="O15" s="33"/>
      <c r="P15" s="33"/>
      <c r="R15" s="32"/>
    </row>
    <row r="16" spans="1:18">
      <c r="A16" s="16" t="s">
        <v>471</v>
      </c>
      <c r="B16" s="245">
        <f>'lokale energieproductie'!N41+'lokale energieproductie'!N34</f>
        <v>1309.5</v>
      </c>
      <c r="C16" s="245">
        <f>'lokale energieproductie'!O41+'lokale energieproductie'!O34</f>
        <v>1870.7142857142858</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-3741.4285714285716</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161068.05095700003</v>
      </c>
      <c r="C18" s="21">
        <f>C5+C16</f>
        <v>1870.7142857142858</v>
      </c>
      <c r="D18" s="21">
        <f>MAX((D5+D16),0)</f>
        <v>81303.817207162007</v>
      </c>
      <c r="E18" s="21">
        <f>MAX((E5+E16),0)</f>
        <v>1267.6877319075097</v>
      </c>
      <c r="F18" s="21">
        <f>MAX((F5+F16),0)</f>
        <v>11404.870659339058</v>
      </c>
      <c r="G18" s="21"/>
      <c r="H18" s="21"/>
      <c r="I18" s="21"/>
      <c r="J18" s="21">
        <f>MAX((J5+J16),0)</f>
        <v>36.629601535414494</v>
      </c>
      <c r="K18" s="21"/>
      <c r="L18" s="21">
        <f>MAX((L5+L16),0)</f>
        <v>0</v>
      </c>
      <c r="M18" s="21"/>
      <c r="N18" s="21">
        <f>MAX((N5+N16),0)</f>
        <v>5454.9987553788023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0.21281257418055849</v>
      </c>
      <c r="C20" s="25">
        <f ca="1">'EF ele_warmte'!B22</f>
        <v>0.22956832661999207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34277.306542404542</v>
      </c>
      <c r="C22" s="23">
        <f ca="1">C18*C20</f>
        <v>429.45674815554236</v>
      </c>
      <c r="D22" s="23">
        <f>D18*D20</f>
        <v>16423.371075846728</v>
      </c>
      <c r="E22" s="23">
        <f>E18*E20</f>
        <v>287.76511514300472</v>
      </c>
      <c r="F22" s="23">
        <f>F18*F20</f>
        <v>3045.1004660435287</v>
      </c>
      <c r="G22" s="23"/>
      <c r="H22" s="23"/>
      <c r="I22" s="23"/>
      <c r="J22" s="23">
        <f>J18*J20</f>
        <v>12.966878943536731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1008.8324590000001</v>
      </c>
      <c r="C30" s="39">
        <f>IF(ISERROR(B30*3.6/1000000/'E Balans VL '!Z18*100),0,B30*3.6/1000000/'E Balans VL '!Z18*100)</f>
        <v>5.8238323728695397E-2</v>
      </c>
      <c r="D30" s="235" t="s">
        <v>698</v>
      </c>
    </row>
    <row r="31" spans="1:18">
      <c r="A31" s="6" t="s">
        <v>32</v>
      </c>
      <c r="B31" s="37">
        <f>IF( ISERROR(IND_ander_ele_kWh/1000),0,IND_ander_ele_kWh/1000)</f>
        <v>2844.2054579999999</v>
      </c>
      <c r="C31" s="39">
        <f>IF(ISERROR(B31*3.6/1000000/'E Balans VL '!Z19*100),0,B31*3.6/1000000/'E Balans VL '!Z19*100)</f>
        <v>0.14305431540238178</v>
      </c>
      <c r="D31" s="235" t="s">
        <v>698</v>
      </c>
    </row>
    <row r="32" spans="1:18">
      <c r="A32" s="169" t="s">
        <v>40</v>
      </c>
      <c r="B32" s="37">
        <f>IF( ISERROR(IND_voed_ele_kWh/1000),0,IND_voed_ele_kWh/1000)</f>
        <v>151523.8444</v>
      </c>
      <c r="C32" s="39">
        <f>IF(ISERROR(B32*3.6/1000000/'E Balans VL '!Z20*100),0,B32*3.6/1000000/'E Balans VL '!Z20*100)</f>
        <v>5.0466438046988955</v>
      </c>
      <c r="D32" s="235" t="s">
        <v>698</v>
      </c>
    </row>
    <row r="33" spans="1:5">
      <c r="A33" s="169" t="s">
        <v>39</v>
      </c>
      <c r="B33" s="37">
        <f>IF( ISERROR(IND_textiel_ele_kWh/1000),0,IND_textiel_ele_kWh/1000)</f>
        <v>70.569312000000011</v>
      </c>
      <c r="C33" s="39">
        <f>IF(ISERROR(B33*3.6/1000000/'E Balans VL '!Z21*100),0,B33*3.6/1000000/'E Balans VL '!Z21*100)</f>
        <v>1.1002653906886246E-2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4311.0993279999993</v>
      </c>
      <c r="C37" s="39">
        <f>IF(ISERROR(B37*3.6/1000000/'E Balans VL '!Z15*100),0,B37*3.6/1000000/'E Balans VL '!Z15*100)</f>
        <v>3.3638364025098941E-2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9187.891282999999</v>
      </c>
      <c r="C5" s="17">
        <f>'Eigen informatie GS &amp; warmtenet'!B62</f>
        <v>0</v>
      </c>
      <c r="D5" s="30">
        <f>IF(ISERROR(SUM(LB_lb_gas_kWh,LB_rest_gas_kWh)/1000),0,SUM(LB_lb_gas_kWh,LB_rest_gas_kWh)/1000)*0.902</f>
        <v>110387.10213852201</v>
      </c>
      <c r="E5" s="17">
        <f>B17*'E Balans VL '!I25/3.6*1000000/100</f>
        <v>286.75105714966395</v>
      </c>
      <c r="F5" s="17">
        <f>B17*('E Balans VL '!L25/3.6*1000000+'E Balans VL '!N25/3.6*1000000)/100</f>
        <v>32471.025601261965</v>
      </c>
      <c r="G5" s="18"/>
      <c r="H5" s="17"/>
      <c r="I5" s="17"/>
      <c r="J5" s="17">
        <f>('E Balans VL '!D25+'E Balans VL '!E25)/3.6*1000000*landbouw!B17/100</f>
        <v>2531.3277659341315</v>
      </c>
      <c r="K5" s="17"/>
      <c r="L5" s="17">
        <f>L6*(-1)</f>
        <v>0</v>
      </c>
      <c r="M5" s="17"/>
      <c r="N5" s="17">
        <f>N6*(-1)</f>
        <v>0</v>
      </c>
      <c r="O5" s="17"/>
      <c r="P5" s="17"/>
      <c r="R5" s="32"/>
    </row>
    <row r="6" spans="1:18">
      <c r="A6" s="16" t="s">
        <v>471</v>
      </c>
      <c r="B6" s="17" t="s">
        <v>210</v>
      </c>
      <c r="C6" s="17">
        <f>'lokale energieproductie'!O43+'lokale energieproductie'!O36</f>
        <v>53158.928571428572</v>
      </c>
      <c r="D6" s="304">
        <f>('lokale energieproductie'!P36+'lokale energieproductie'!P43)*(-1)</f>
        <v>-106317.85714285714</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9187.891282999999</v>
      </c>
      <c r="C8" s="21">
        <f>C5+C6</f>
        <v>53158.928571428572</v>
      </c>
      <c r="D8" s="21">
        <f>MAX((D5+D6),0)</f>
        <v>4069.2449956648634</v>
      </c>
      <c r="E8" s="21">
        <f>MAX((E5+E6),0)</f>
        <v>286.75105714966395</v>
      </c>
      <c r="F8" s="21">
        <f>MAX((F5+F6),0)</f>
        <v>32471.025601261965</v>
      </c>
      <c r="G8" s="21"/>
      <c r="H8" s="21"/>
      <c r="I8" s="21"/>
      <c r="J8" s="21">
        <f>MAX((J5+J6),0)</f>
        <v>2531.3277659341315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0.21281257418055849</v>
      </c>
      <c r="C10" s="31">
        <f ca="1">'EF ele_warmte'!B22</f>
        <v>0.22956832661999207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1955.2987952263441</v>
      </c>
      <c r="C12" s="23">
        <f ca="1">C8*C10</f>
        <v>12203.606277054543</v>
      </c>
      <c r="D12" s="23">
        <f>D8*D10</f>
        <v>821.98748912430244</v>
      </c>
      <c r="E12" s="23">
        <f>E8*E10</f>
        <v>65.092489972973723</v>
      </c>
      <c r="F12" s="23">
        <f>F8*F10</f>
        <v>8669.7638355369454</v>
      </c>
      <c r="G12" s="23"/>
      <c r="H12" s="23"/>
      <c r="I12" s="23"/>
      <c r="J12" s="23">
        <f>J8*J10</f>
        <v>896.09002914068253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1.3658459042615467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441.61681789676851</v>
      </c>
      <c r="C26" s="245">
        <f>B26*'GWP N2O_CH4'!B5</f>
        <v>9273.9531758321391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758.58939026028565</v>
      </c>
      <c r="C27" s="245">
        <f>B27*'GWP N2O_CH4'!B5</f>
        <v>15930.377195465999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8.3871814153134139</v>
      </c>
      <c r="C28" s="245">
        <f>B28*'GWP N2O_CH4'!B4</f>
        <v>2600.0262387471585</v>
      </c>
      <c r="D28" s="50"/>
    </row>
    <row r="29" spans="1:4">
      <c r="A29" s="41" t="s">
        <v>271</v>
      </c>
      <c r="B29" s="245">
        <f>B34*'ha_N2O bodem landbouw'!B4</f>
        <v>21.989520705663441</v>
      </c>
      <c r="C29" s="245">
        <f>B29*'GWP N2O_CH4'!B4</f>
        <v>6816.7514187556671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4.8219059783337053E-3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2.1767901401591481E-4</v>
      </c>
      <c r="C5" s="433" t="s">
        <v>210</v>
      </c>
      <c r="D5" s="418">
        <f>SUM(D6:D11)</f>
        <v>4.1332453415047999E-4</v>
      </c>
      <c r="E5" s="418">
        <f>SUM(E6:E11)</f>
        <v>3.5396843768379456E-4</v>
      </c>
      <c r="F5" s="431" t="s">
        <v>210</v>
      </c>
      <c r="G5" s="418">
        <f>SUM(G6:G11)</f>
        <v>0.16713866766687124</v>
      </c>
      <c r="H5" s="418">
        <f>SUM(H6:H11)</f>
        <v>3.6581208664762555E-2</v>
      </c>
      <c r="I5" s="433" t="s">
        <v>210</v>
      </c>
      <c r="J5" s="433" t="s">
        <v>210</v>
      </c>
      <c r="K5" s="433" t="s">
        <v>210</v>
      </c>
      <c r="L5" s="433" t="s">
        <v>210</v>
      </c>
      <c r="M5" s="418">
        <f>SUM(M6:M11)</f>
        <v>1.205622258089397E-2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1.1280034357858396E-4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1.9041794816475636E-4</v>
      </c>
      <c r="E6" s="884">
        <f>vkm_GW_PW*SUMIFS(TableVerdeelsleutelVkm[LPG],TableVerdeelsleutelVkm[Voertuigtype],"Lichte voertuigen")*SUMIFS(TableECFTransport[EnergieConsumptieFactor (PJ per km)],TableECFTransport[Index],CONCATENATE($A6,"_LPG_LPG"))</f>
        <v>1.6685799822882072E-4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5.2123197978102206E-2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1.6985313240451091E-2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4.1290845156846745E-3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9.9791485697958927E-7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3.8087619489449401E-2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5.294301207804576E-7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2.1954610324692249E-3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1.0341352574470162E-4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2.229065859857236E-4</v>
      </c>
      <c r="E8" s="421">
        <f>vkm_NGW_PW*SUMIFS(TableVerdeelsleutelVkm[LPG],TableVerdeelsleutelVkm[Voertuigtype],"Lichte voertuigen")*SUMIFS(TableECFTransport[EnergieConsumptieFactor (PJ per km)],TableECFTransport[Index],CONCATENATE($A8,"_LPG_LPG"))</f>
        <v>1.8711043945497384E-4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5.4002335050352568E-2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1.9595066793789719E-2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4.4101970681456465E-3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4.672298356496358E-7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2.2925515148967072E-2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2.9920040095886369E-7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1.3214799645944247E-3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60.466392782198561</v>
      </c>
      <c r="C14" s="21"/>
      <c r="D14" s="21">
        <f t="shared" ref="D14:M14" si="0">((D5)*10^9/3600)+D12</f>
        <v>114.81237059735555</v>
      </c>
      <c r="E14" s="21">
        <f t="shared" si="0"/>
        <v>98.324566023276262</v>
      </c>
      <c r="F14" s="21"/>
      <c r="G14" s="21">
        <f t="shared" si="0"/>
        <v>46427.407685242011</v>
      </c>
      <c r="H14" s="21">
        <f t="shared" si="0"/>
        <v>10161.446851322933</v>
      </c>
      <c r="I14" s="21"/>
      <c r="J14" s="21"/>
      <c r="K14" s="21"/>
      <c r="L14" s="21"/>
      <c r="M14" s="21">
        <f t="shared" si="0"/>
        <v>3348.950716914992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0.21281257418055849</v>
      </c>
      <c r="C16" s="56">
        <f ca="1">'EF ele_warmte'!B22</f>
        <v>0.22956832661999207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12.868008699392417</v>
      </c>
      <c r="C18" s="23"/>
      <c r="D18" s="23">
        <f t="shared" ref="D18:M18" si="1">D14*D16</f>
        <v>23.192098860665823</v>
      </c>
      <c r="E18" s="23">
        <f t="shared" si="1"/>
        <v>22.319676487283711</v>
      </c>
      <c r="F18" s="23"/>
      <c r="G18" s="23">
        <f t="shared" si="1"/>
        <v>12396.117851959618</v>
      </c>
      <c r="H18" s="23">
        <f t="shared" si="1"/>
        <v>2530.2002659794102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5.3898963541465553E-5</v>
      </c>
      <c r="C50" s="315">
        <f t="shared" ref="C50:P50" si="2">SUM(C51:C52)</f>
        <v>0</v>
      </c>
      <c r="D50" s="315">
        <f t="shared" si="2"/>
        <v>0</v>
      </c>
      <c r="E50" s="315">
        <f t="shared" si="2"/>
        <v>0</v>
      </c>
      <c r="F50" s="315">
        <f t="shared" si="2"/>
        <v>0</v>
      </c>
      <c r="G50" s="315">
        <f t="shared" si="2"/>
        <v>3.9050610872777471E-3</v>
      </c>
      <c r="H50" s="315">
        <f t="shared" si="2"/>
        <v>0</v>
      </c>
      <c r="I50" s="315">
        <f t="shared" si="2"/>
        <v>0</v>
      </c>
      <c r="J50" s="315">
        <f t="shared" si="2"/>
        <v>0</v>
      </c>
      <c r="K50" s="315">
        <f t="shared" si="2"/>
        <v>0</v>
      </c>
      <c r="L50" s="315">
        <f t="shared" si="2"/>
        <v>0</v>
      </c>
      <c r="M50" s="315">
        <f t="shared" si="2"/>
        <v>2.2088188437243702E-4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5.3898963541465553E-5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3.9050610872777471E-3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2.2088188437243702E-4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14.971934317073764</v>
      </c>
      <c r="C54" s="21">
        <f t="shared" ref="C54:P54" si="3">(C50)*10^9/3600</f>
        <v>0</v>
      </c>
      <c r="D54" s="21">
        <f t="shared" si="3"/>
        <v>0</v>
      </c>
      <c r="E54" s="21">
        <f t="shared" si="3"/>
        <v>0</v>
      </c>
      <c r="F54" s="21">
        <f t="shared" si="3"/>
        <v>0</v>
      </c>
      <c r="G54" s="21">
        <f t="shared" si="3"/>
        <v>1084.7391909104854</v>
      </c>
      <c r="H54" s="21">
        <f t="shared" si="3"/>
        <v>0</v>
      </c>
      <c r="I54" s="21">
        <f t="shared" si="3"/>
        <v>0</v>
      </c>
      <c r="J54" s="21">
        <f t="shared" si="3"/>
        <v>0</v>
      </c>
      <c r="K54" s="21">
        <f t="shared" si="3"/>
        <v>0</v>
      </c>
      <c r="L54" s="21">
        <f t="shared" si="3"/>
        <v>0</v>
      </c>
      <c r="M54" s="21">
        <f t="shared" si="3"/>
        <v>61.356078992343619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0.21281257418055849</v>
      </c>
      <c r="C56" s="56">
        <f ca="1">'EF ele_warmte'!B22</f>
        <v>0.22956832661999207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3.1862158824787095</v>
      </c>
      <c r="C58" s="23">
        <f t="shared" ref="C58:P58" ca="1" si="4">C54*C56</f>
        <v>0</v>
      </c>
      <c r="D58" s="23">
        <f t="shared" si="4"/>
        <v>0</v>
      </c>
      <c r="E58" s="23">
        <f t="shared" si="4"/>
        <v>0</v>
      </c>
      <c r="F58" s="23">
        <f t="shared" si="4"/>
        <v>0</v>
      </c>
      <c r="G58" s="23">
        <f t="shared" si="4"/>
        <v>289.62536397309964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8895.7355510507241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38520.75</v>
      </c>
      <c r="C8" s="543">
        <f>B52</f>
        <v>43777.941176470595</v>
      </c>
      <c r="D8" s="544"/>
      <c r="E8" s="544">
        <f>E52</f>
        <v>0</v>
      </c>
      <c r="F8" s="545"/>
      <c r="G8" s="546"/>
      <c r="H8" s="544">
        <f>I52</f>
        <v>0</v>
      </c>
      <c r="I8" s="544">
        <f>G52+F52</f>
        <v>0</v>
      </c>
      <c r="J8" s="544">
        <f>H52+D52+C52</f>
        <v>1540.5882352941178</v>
      </c>
      <c r="K8" s="544"/>
      <c r="L8" s="544"/>
      <c r="M8" s="544"/>
      <c r="N8" s="547"/>
      <c r="O8" s="548">
        <f>C8*$C$12+D8*$D$12+E8*$E$12+F8*$F$12+G8*$G$12+H8*$H$12+I8*$I$12+J8*$J$12</f>
        <v>8843.1441176470598</v>
      </c>
      <c r="P8" s="1244"/>
      <c r="Q8" s="1245"/>
      <c r="S8" s="538"/>
      <c r="T8" s="1232"/>
      <c r="U8" s="1232"/>
    </row>
    <row r="9" spans="1:21" s="529" customFormat="1" ht="17.45" customHeight="1" thickBot="1">
      <c r="A9" s="549" t="s">
        <v>242</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47416.485551050726</v>
      </c>
      <c r="C10" s="558">
        <f t="shared" ref="C10:L10" si="0">SUM(C8:C9)</f>
        <v>43777.941176470595</v>
      </c>
      <c r="D10" s="558">
        <f t="shared" si="0"/>
        <v>0</v>
      </c>
      <c r="E10" s="558">
        <f t="shared" si="0"/>
        <v>0</v>
      </c>
      <c r="F10" s="558">
        <f t="shared" si="0"/>
        <v>0</v>
      </c>
      <c r="G10" s="558">
        <f t="shared" si="0"/>
        <v>0</v>
      </c>
      <c r="H10" s="558">
        <f t="shared" si="0"/>
        <v>0</v>
      </c>
      <c r="I10" s="558">
        <f t="shared" si="0"/>
        <v>0</v>
      </c>
      <c r="J10" s="558">
        <f t="shared" si="0"/>
        <v>1540.5882352941178</v>
      </c>
      <c r="K10" s="558">
        <f t="shared" si="0"/>
        <v>0</v>
      </c>
      <c r="L10" s="558">
        <f t="shared" si="0"/>
        <v>0</v>
      </c>
      <c r="M10" s="965"/>
      <c r="N10" s="965"/>
      <c r="O10" s="559">
        <f>SUM(O4:O9)</f>
        <v>8843.1441176470598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55029.642857142855</v>
      </c>
      <c r="C17" s="574">
        <f>B53</f>
        <v>62539.915966386558</v>
      </c>
      <c r="D17" s="575"/>
      <c r="E17" s="575">
        <f>E53</f>
        <v>0</v>
      </c>
      <c r="F17" s="576"/>
      <c r="G17" s="577"/>
      <c r="H17" s="574">
        <f>I53</f>
        <v>0</v>
      </c>
      <c r="I17" s="575">
        <f>G53+F53</f>
        <v>0</v>
      </c>
      <c r="J17" s="575">
        <f>H53+D53+C53</f>
        <v>2200.840336134454</v>
      </c>
      <c r="K17" s="575"/>
      <c r="L17" s="575"/>
      <c r="M17" s="575"/>
      <c r="N17" s="966"/>
      <c r="O17" s="578">
        <f>C17*$C$22+E17*$E$22+H17*$H$22+I17*$I$22+J17*$J$22+D17*$D$22+F17*$F$22+G17*$G$22+K17*$K$22+L17*$L$22</f>
        <v>12633.063025210085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55029.642857142855</v>
      </c>
      <c r="C20" s="557">
        <f>SUM(C17:C19)</f>
        <v>62539.915966386558</v>
      </c>
      <c r="D20" s="557">
        <f t="shared" ref="D20:L20" si="1">SUM(D17:D19)</f>
        <v>0</v>
      </c>
      <c r="E20" s="557">
        <f t="shared" si="1"/>
        <v>0</v>
      </c>
      <c r="F20" s="557">
        <f t="shared" si="1"/>
        <v>0</v>
      </c>
      <c r="G20" s="557">
        <f t="shared" si="1"/>
        <v>0</v>
      </c>
      <c r="H20" s="557">
        <f t="shared" si="1"/>
        <v>0</v>
      </c>
      <c r="I20" s="557">
        <f t="shared" si="1"/>
        <v>0</v>
      </c>
      <c r="J20" s="557">
        <f t="shared" si="1"/>
        <v>2200.840336134454</v>
      </c>
      <c r="K20" s="557">
        <f t="shared" si="1"/>
        <v>0</v>
      </c>
      <c r="L20" s="557">
        <f t="shared" si="1"/>
        <v>0</v>
      </c>
      <c r="M20" s="557"/>
      <c r="N20" s="557"/>
      <c r="O20" s="583">
        <f>SUM(O17:O19)</f>
        <v>12633.063025210085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36019</v>
      </c>
      <c r="C28" s="785">
        <v>8840</v>
      </c>
      <c r="D28" s="635" t="s">
        <v>906</v>
      </c>
      <c r="E28" s="634" t="s">
        <v>907</v>
      </c>
      <c r="F28" s="634" t="s">
        <v>908</v>
      </c>
      <c r="G28" s="634" t="s">
        <v>909</v>
      </c>
      <c r="H28" s="634" t="s">
        <v>910</v>
      </c>
      <c r="I28" s="634" t="s">
        <v>911</v>
      </c>
      <c r="J28" s="784">
        <v>38625</v>
      </c>
      <c r="K28" s="784">
        <v>38412</v>
      </c>
      <c r="L28" s="634" t="s">
        <v>912</v>
      </c>
      <c r="M28" s="634">
        <v>291</v>
      </c>
      <c r="N28" s="634">
        <v>1309.5</v>
      </c>
      <c r="O28" s="634">
        <v>1870.7142857142858</v>
      </c>
      <c r="P28" s="634">
        <v>0</v>
      </c>
      <c r="Q28" s="634">
        <v>3741.4285714285716</v>
      </c>
      <c r="R28" s="634">
        <v>0</v>
      </c>
      <c r="S28" s="634">
        <v>0</v>
      </c>
      <c r="T28" s="634">
        <v>0</v>
      </c>
      <c r="U28" s="634">
        <v>0</v>
      </c>
      <c r="V28" s="634">
        <v>0</v>
      </c>
      <c r="W28" s="634">
        <v>0</v>
      </c>
      <c r="X28" s="634">
        <v>500</v>
      </c>
      <c r="Y28" s="634" t="s">
        <v>40</v>
      </c>
      <c r="Z28" s="636" t="s">
        <v>377</v>
      </c>
    </row>
    <row r="29" spans="1:26" s="588" customFormat="1" ht="25.5">
      <c r="A29" s="587"/>
      <c r="B29" s="785">
        <v>36019</v>
      </c>
      <c r="C29" s="785">
        <v>8840</v>
      </c>
      <c r="D29" s="635" t="s">
        <v>913</v>
      </c>
      <c r="E29" s="634" t="s">
        <v>914</v>
      </c>
      <c r="F29" s="634" t="s">
        <v>915</v>
      </c>
      <c r="G29" s="634" t="s">
        <v>909</v>
      </c>
      <c r="H29" s="634" t="s">
        <v>910</v>
      </c>
      <c r="I29" s="634" t="s">
        <v>914</v>
      </c>
      <c r="J29" s="784">
        <v>40910</v>
      </c>
      <c r="K29" s="784">
        <v>39792</v>
      </c>
      <c r="L29" s="634" t="s">
        <v>912</v>
      </c>
      <c r="M29" s="634">
        <v>3938</v>
      </c>
      <c r="N29" s="634">
        <v>17721</v>
      </c>
      <c r="O29" s="634">
        <v>25315.714285714286</v>
      </c>
      <c r="P29" s="634">
        <v>50631.428571428572</v>
      </c>
      <c r="Q29" s="634">
        <v>0</v>
      </c>
      <c r="R29" s="634">
        <v>0</v>
      </c>
      <c r="S29" s="634">
        <v>0</v>
      </c>
      <c r="T29" s="634">
        <v>0</v>
      </c>
      <c r="U29" s="634">
        <v>0</v>
      </c>
      <c r="V29" s="634">
        <v>0</v>
      </c>
      <c r="W29" s="634">
        <v>0</v>
      </c>
      <c r="X29" s="634">
        <v>10</v>
      </c>
      <c r="Y29" s="634" t="s">
        <v>111</v>
      </c>
      <c r="Z29" s="636" t="s">
        <v>111</v>
      </c>
    </row>
    <row r="30" spans="1:26" s="588" customFormat="1" ht="25.5">
      <c r="A30" s="587"/>
      <c r="B30" s="785">
        <v>36019</v>
      </c>
      <c r="C30" s="785">
        <v>8840</v>
      </c>
      <c r="D30" s="635" t="s">
        <v>916</v>
      </c>
      <c r="E30" s="634" t="s">
        <v>917</v>
      </c>
      <c r="F30" s="634" t="s">
        <v>918</v>
      </c>
      <c r="G30" s="634" t="s">
        <v>909</v>
      </c>
      <c r="H30" s="634" t="s">
        <v>910</v>
      </c>
      <c r="I30" s="634" t="s">
        <v>917</v>
      </c>
      <c r="J30" s="784">
        <v>39912</v>
      </c>
      <c r="K30" s="784">
        <v>39923</v>
      </c>
      <c r="L30" s="634" t="s">
        <v>912</v>
      </c>
      <c r="M30" s="634">
        <v>2000</v>
      </c>
      <c r="N30" s="634">
        <v>9000</v>
      </c>
      <c r="O30" s="634">
        <v>12857.142857142857</v>
      </c>
      <c r="P30" s="634">
        <v>25714.285714285717</v>
      </c>
      <c r="Q30" s="634">
        <v>0</v>
      </c>
      <c r="R30" s="634">
        <v>0</v>
      </c>
      <c r="S30" s="634">
        <v>0</v>
      </c>
      <c r="T30" s="634">
        <v>0</v>
      </c>
      <c r="U30" s="634">
        <v>0</v>
      </c>
      <c r="V30" s="634">
        <v>0</v>
      </c>
      <c r="W30" s="634">
        <v>0</v>
      </c>
      <c r="X30" s="634">
        <v>10</v>
      </c>
      <c r="Y30" s="634" t="s">
        <v>111</v>
      </c>
      <c r="Z30" s="636" t="s">
        <v>111</v>
      </c>
    </row>
    <row r="31" spans="1:26" s="588" customFormat="1" ht="25.5">
      <c r="A31" s="587"/>
      <c r="B31" s="785">
        <v>36019</v>
      </c>
      <c r="C31" s="785">
        <v>8840</v>
      </c>
      <c r="D31" s="635" t="s">
        <v>916</v>
      </c>
      <c r="E31" s="634" t="s">
        <v>917</v>
      </c>
      <c r="F31" s="634" t="s">
        <v>919</v>
      </c>
      <c r="G31" s="634" t="s">
        <v>909</v>
      </c>
      <c r="H31" s="634" t="s">
        <v>910</v>
      </c>
      <c r="I31" s="634" t="s">
        <v>920</v>
      </c>
      <c r="J31" s="784">
        <v>40557</v>
      </c>
      <c r="K31" s="784">
        <v>40576</v>
      </c>
      <c r="L31" s="634" t="s">
        <v>912</v>
      </c>
      <c r="M31" s="634">
        <v>2000</v>
      </c>
      <c r="N31" s="634">
        <v>9000</v>
      </c>
      <c r="O31" s="634">
        <v>12857.142857142857</v>
      </c>
      <c r="P31" s="634">
        <v>25714.285714285717</v>
      </c>
      <c r="Q31" s="634">
        <v>0</v>
      </c>
      <c r="R31" s="634">
        <v>0</v>
      </c>
      <c r="S31" s="634">
        <v>0</v>
      </c>
      <c r="T31" s="634">
        <v>0</v>
      </c>
      <c r="U31" s="634">
        <v>0</v>
      </c>
      <c r="V31" s="634">
        <v>0</v>
      </c>
      <c r="W31" s="634">
        <v>0</v>
      </c>
      <c r="X31" s="634">
        <v>10</v>
      </c>
      <c r="Y31" s="634" t="s">
        <v>111</v>
      </c>
      <c r="Z31" s="636" t="s">
        <v>111</v>
      </c>
    </row>
    <row r="32" spans="1:26" s="588" customFormat="1" ht="25.5">
      <c r="A32" s="587"/>
      <c r="B32" s="785">
        <v>36019</v>
      </c>
      <c r="C32" s="785">
        <v>8840</v>
      </c>
      <c r="D32" s="635" t="s">
        <v>921</v>
      </c>
      <c r="E32" s="634"/>
      <c r="F32" s="634" t="s">
        <v>922</v>
      </c>
      <c r="G32" s="634" t="s">
        <v>923</v>
      </c>
      <c r="H32" s="634" t="s">
        <v>910</v>
      </c>
      <c r="I32" s="634" t="s">
        <v>924</v>
      </c>
      <c r="J32" s="784">
        <v>43025</v>
      </c>
      <c r="K32" s="784">
        <v>43025</v>
      </c>
      <c r="L32" s="634" t="s">
        <v>925</v>
      </c>
      <c r="M32" s="634">
        <v>1987</v>
      </c>
      <c r="N32" s="634">
        <v>1490.25</v>
      </c>
      <c r="O32" s="634">
        <v>2128.9285714285716</v>
      </c>
      <c r="P32" s="634">
        <v>4257.8571428571431</v>
      </c>
      <c r="Q32" s="634">
        <v>0</v>
      </c>
      <c r="R32" s="634">
        <v>0</v>
      </c>
      <c r="S32" s="634">
        <v>0</v>
      </c>
      <c r="T32" s="634">
        <v>0</v>
      </c>
      <c r="U32" s="634">
        <v>0</v>
      </c>
      <c r="V32" s="634">
        <v>0</v>
      </c>
      <c r="W32" s="634">
        <v>0</v>
      </c>
      <c r="X32" s="634">
        <v>10</v>
      </c>
      <c r="Y32" s="634" t="s">
        <v>111</v>
      </c>
      <c r="Z32" s="636" t="s">
        <v>111</v>
      </c>
    </row>
    <row r="33" spans="1:27" s="568" customFormat="1">
      <c r="A33" s="590" t="s">
        <v>274</v>
      </c>
      <c r="B33" s="591"/>
      <c r="C33" s="591"/>
      <c r="D33" s="591"/>
      <c r="E33" s="591"/>
      <c r="F33" s="591"/>
      <c r="G33" s="591"/>
      <c r="H33" s="591"/>
      <c r="I33" s="591"/>
      <c r="J33" s="591"/>
      <c r="K33" s="591"/>
      <c r="L33" s="592"/>
      <c r="M33" s="592">
        <f>SUM(M28:M32)</f>
        <v>10216</v>
      </c>
      <c r="N33" s="592">
        <f>SUM(N28:N32)</f>
        <v>38520.75</v>
      </c>
      <c r="O33" s="592">
        <f>SUM(O28:O32)</f>
        <v>55029.642857142855</v>
      </c>
      <c r="P33" s="592">
        <f>SUM(P28:P32)</f>
        <v>106317.85714285714</v>
      </c>
      <c r="Q33" s="592">
        <f>SUM(Q28:Q32)</f>
        <v>3741.4285714285716</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291</v>
      </c>
      <c r="N34" s="592">
        <f>SUMIF($Z$28:$Z$32,"industrie",N28:N32)</f>
        <v>1309.5</v>
      </c>
      <c r="O34" s="592">
        <f>SUMIF($Z$28:$Z$32,"industrie",O28:O32)</f>
        <v>1870.7142857142858</v>
      </c>
      <c r="P34" s="592">
        <f>SUMIF($Z$28:$Z$32,"industrie",P28:P32)</f>
        <v>0</v>
      </c>
      <c r="Q34" s="592">
        <f>SUMIF($Z$28:$Z$32,"industrie",Q28:Q32)</f>
        <v>3741.4285714285716</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0</v>
      </c>
      <c r="N35" s="592">
        <f ca="1">SUMIF($Z$28:AD32,"tertiair",N28:N32)</f>
        <v>0</v>
      </c>
      <c r="O35" s="592">
        <f ca="1">SUMIF($Z$28:AE32,"tertiair",O28:O32)</f>
        <v>0</v>
      </c>
      <c r="P35" s="592">
        <f ca="1">SUMIF($Z$28:AF32,"tertiair",P28:P32)</f>
        <v>0</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9925</v>
      </c>
      <c r="N36" s="597">
        <f>SUMIF($Z$28:$Z$32,"landbouw",N28:N32)</f>
        <v>37211.25</v>
      </c>
      <c r="O36" s="597">
        <f>SUMIF($Z$28:$Z$32,"landbouw",O28:O32)</f>
        <v>53158.928571428572</v>
      </c>
      <c r="P36" s="597">
        <f>SUMIF($Z$28:$Z$32,"landbouw",P28:P32)</f>
        <v>106317.85714285714</v>
      </c>
      <c r="Q36" s="597">
        <f>SUMIF($Z$28:$Z$32,"landbouw",Q28:Q32)</f>
        <v>0</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12.75">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c r="A40" s="590" t="s">
        <v>274</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0.58823529411764708</v>
      </c>
      <c r="C49" s="617">
        <f>IF(ISERROR(N33/(O33+N33)),0,N33/(N33+O33))</f>
        <v>0.41176470588235298</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43777.941176470595</v>
      </c>
      <c r="C52" s="626">
        <f t="shared" si="2"/>
        <v>1540.5882352941178</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62539.915966386558</v>
      </c>
      <c r="C53" s="629">
        <f t="shared" si="3"/>
        <v>2200.840336134454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2021-06-29T15:29:13Z</dcterms:modified>
</cp:coreProperties>
</file>