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C6" i="17" s="1"/>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I9" i="18"/>
  <c r="I77" i="14" s="1"/>
  <c r="I9" i="59" s="1"/>
  <c r="D16" i="16"/>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49"/>
  <c r="C22" i="59"/>
  <c r="C29" i="20"/>
  <c r="C10" i="13"/>
  <c r="C12" i="13" s="1"/>
  <c r="D41" i="14" s="1"/>
  <c r="D46" i="14" s="1"/>
  <c r="D61" i="14" s="1"/>
  <c r="D63" i="14" s="1"/>
  <c r="C20" i="16"/>
  <c r="C22" i="16" s="1"/>
  <c r="D43" i="14" s="1"/>
  <c r="C10" i="17"/>
  <c r="C12" i="17" s="1"/>
  <c r="D54" i="14" s="1"/>
  <c r="D56" i="14" s="1"/>
  <c r="C18" i="15"/>
  <c r="C20" i="15" s="1"/>
  <c r="D40" i="14" s="1"/>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<sst xmlns="http://schemas.openxmlformats.org/spreadsheetml/2006/main" count="2492" uniqueCount="912">
  <si>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</si>
  <si>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</si>
  <si>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</si>
  <si>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</si>
  <si>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</si>
  <si>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</si>
  <si>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</si>
  <si>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</si>
  <si>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</si>
  <si>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</si>
  <si>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</si>
  <si>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</si>
  <si>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</si>
  <si>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</si>
  <si>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</si>
  <si>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</si>
  <si>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</si>
  <si>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</si>
  <si>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</si>
  <si>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</si>
  <si>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</si>
  <si>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</si>
  <si>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</si>
  <si>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</si>
  <si>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</si>
  <si>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</si>
  <si>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</si>
  <si>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</si>
  <si>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</si>
  <si>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</si>
  <si>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</si>
  <si>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</si>
  <si>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</si>
  <si>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</si>
  <si>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</si>
  <si>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</si>
  <si>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</si>
  <si>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</si>
  <si>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</si>
  <si>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</si>
  <si>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</si>
  <si>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</si>
  <si>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</si>
  <si>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</si>
  <si>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</si>
  <si>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</si>
  <si>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</si>
  <si>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</si>
  <si>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</si>
  <si>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</si>
  <si>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</si>
  <si>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</si>
  <si>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</si>
  <si>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</si>
  <si>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</si>
  <si>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</si>
  <si>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</si>
  <si>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</si>
  <si>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</si>
  <si>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</si>
  <si>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</si>
  <si>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</si>
  <si>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</si>
  <si>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</si>
  <si>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</si>
  <si>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</si>
  <si>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</si>
  <si>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</si>
  <si>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</si>
  <si>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</si>
  <si>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</si>
  <si>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</si>
  <si>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</si>
  <si>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</si>
  <si>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</si>
  <si>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</si>
  <si>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</si>
  <si>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</si>
  <si>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</si>
  <si>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</si>
  <si>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</si>
  <si>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</si>
  <si>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</si>
  <si>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</si>
  <si>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</si>
  <si>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</si>
  <si>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</si>
  <si>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</si>
  <si>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</si>
  <si>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</si>
  <si>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</si>
  <si>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</si>
  <si>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</si>
  <si>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</si>
  <si>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</si>
  <si>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</si>
  <si>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</si>
  <si>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</si>
  <si>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</si>
  <si>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</si>
  <si>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</si>
  <si>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</si>
  <si>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</si>
  <si>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</si>
  <si>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</si>
  <si>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</si>
  <si>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</si>
  <si>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</si>
  <si>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</si>
  <si>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</si>
  <si>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</si>
  <si>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</si>
  <si>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</si>
  <si>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</si>
  <si>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</si>
  <si>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</si>
  <si>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</si>
  <si>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</si>
  <si>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</si>
  <si>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</si>
  <si>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</si>
  <si>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</si>
  <si>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</si>
  <si>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</si>
  <si>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</si>
  <si>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</si>
  <si>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</si>
  <si>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</si>
  <si>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</si>
  <si>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</si>
  <si>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</si>
  <si>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</si>
  <si>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</si>
  <si>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</si>
  <si>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</si>
  <si>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</si>
  <si>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</si>
  <si>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</si>
  <si>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</si>
  <si>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</si>
  <si>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</si>
  <si>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</si>
  <si>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</si>
  <si>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</si>
  <si>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</si>
  <si>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</si>
  <si>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</si>
  <si>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</si>
  <si>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</si>
  <si>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</si>
  <si>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</si>
  <si>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</si>
  <si>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</si>
  <si>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</si>
  <si>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</si>
  <si>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</si>
  <si>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</si>
  <si>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</si>
  <si>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</si>
  <si>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</si>
  <si>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</si>
  <si>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</si>
  <si>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</si>
  <si>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</si>
  <si>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</si>
  <si>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</si>
  <si>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</si>
  <si>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</si>
  <si>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</si>
  <si>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</si>
  <si>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</si>
  <si>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</si>
  <si>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</si>
  <si>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</si>
  <si>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</si>
  <si>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</si>
  <si>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</si>
  <si>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</si>
  <si>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</si>
  <si>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</si>
  <si>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</si>
  <si>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</si>
  <si>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</si>
  <si>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</si>
  <si>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</si>
  <si>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</si>
  <si>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</si>
  <si>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</si>
  <si>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</si>
  <si>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</si>
  <si>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</si>
  <si>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</si>
  <si>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</si>
  <si>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</si>
  <si>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</si>
  <si>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</si>
  <si>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</si>
  <si>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</si>
  <si>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</si>
  <si>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</si>
  <si>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</si>
  <si>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</si>
  <si>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</si>
  <si>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</si>
  <si>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</si>
  <si>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</si>
  <si>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</si>
  <si>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</si>
  <si>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</si>
  <si>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</si>
  <si>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</si>
  <si>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</si>
  <si>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</si>
  <si>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</si>
  <si>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</si>
  <si>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</si>
  <si>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</si>
  <si>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</si>
  <si>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</si>
  <si>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</si>
  <si>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</si>
  <si>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</si>
  <si>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</si>
  <si>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</si>
  <si>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</si>
  <si>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</si>
  <si>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</si>
  <si>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</si>
  <si>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</si>
  <si>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</si>
  <si>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</si>
  <si>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</si>
  <si>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</si>
  <si>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</si>
  <si>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</si>
  <si>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</si>
  <si>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</si>
  <si>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</si>
  <si>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</si>
  <si>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</si>
  <si>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</si>
  <si>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</si>
  <si>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</si>
  <si>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</si>
  <si>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</si>
  <si>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</si>
  <si>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</si>
  <si>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</si>
  <si>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</si>
  <si>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</si>
  <si>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</si>
  <si>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</si>
  <si>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</si>
  <si>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</si>
  <si>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</si>
  <si>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</si>
  <si>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</si>
  <si>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</si>
  <si>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</si>
  <si>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</si>
  <si>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</si>
  <si>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</si>
  <si>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</si>
  <si>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</si>
  <si>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</si>
  <si>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</si>
  <si>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</si>
  <si>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</si>
  <si>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</si>
  <si>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</si>
  <si>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</si>
  <si>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</si>
  <si>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</si>
  <si>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</si>
  <si>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</si>
  <si>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</si>
  <si>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</si>
  <si>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</si>
  <si>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</si>
  <si>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</si>
  <si>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</si>
  <si>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</si>
  <si>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</si>
  <si>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</si>
  <si>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</si>
  <si>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</si>
  <si>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</si>
  <si>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</si>
  <si>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</si>
  <si>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</si>
  <si>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</si>
  <si>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</si>
  <si>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</si>
  <si>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</si>
  <si>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</si>
  <si>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</si>
  <si>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</si>
  <si>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</si>
  <si>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</si>
  <si>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</si>
  <si>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</si>
  <si>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</si>
  <si>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</si>
  <si>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</si>
  <si>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</si>
  <si>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</si>
  <si>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</si>
  <si>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</si>
  <si>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</si>
  <si>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</si>
  <si>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</si>
  <si>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</si>
  <si>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</si>
  <si>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</si>
  <si>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</si>
  <si>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</si>
  <si>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</si>
  <si>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</si>
  <si>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</si>
  <si>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</si>
  <si>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</si>
  <si>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</si>
  <si>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</si>
  <si>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</si>
  <si>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</si>
  <si>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</si>
  <si>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</si>
  <si>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</si>
  <si>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</si>
  <si>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</si>
  <si>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</si>
  <si>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</si>
  <si>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</si>
  <si>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</si>
  <si>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</si>
  <si>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</si>
  <si>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</si>
  <si>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</si>
  <si>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</si>
  <si>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</si>
  <si>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</si>
  <si>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</si>
  <si>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</si>
  <si>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</si>
  <si>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</si>
  <si>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</si>
  <si>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</si>
  <si>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</si>
  <si>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</si>
  <si>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</si>
  <si>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</si>
  <si>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</si>
  <si>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</si>
  <si>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</si>
  <si>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</si>
  <si>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</si>
  <si>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</si>
  <si>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</si>
  <si>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</si>
  <si>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</si>
  <si>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</si>
  <si>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</si>
  <si>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</si>
  <si>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</si>
  <si>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</si>
  <si>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</si>
  <si>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</si>
  <si>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</si>
  <si>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</si>
  <si>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</si>
  <si>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</si>
  <si>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</si>
  <si>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</si>
  <si>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</si>
  <si>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</si>
  <si>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</si>
  <si>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</si>
  <si>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</si>
  <si>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</si>
  <si>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</si>
  <si>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</si>
  <si>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</si>
  <si>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</si>
  <si>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</si>
  <si>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</si>
  <si>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</si>
  <si>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</si>
  <si>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</si>
  <si>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</si>
  <si>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</si>
  <si>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</si>
  <si>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</si>
  <si>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</si>
  <si>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</si>
  <si>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</si>
  <si>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</si>
  <si>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</si>
  <si>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</si>
  <si>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</si>
  <si>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</si>
  <si>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</si>
  <si>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</si>
  <si>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</si>
  <si>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</si>
  <si>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</si>
  <si>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</si>
  <si>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</si>
  <si>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</si>
  <si>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</si>
  <si>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</si>
  <si>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</si>
  <si>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</si>
  <si>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</si>
  <si>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</si>
  <si>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</si>
  <si>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</si>
  <si>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</si>
  <si>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</si>
  <si>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</si>
  <si>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</si>
  <si>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</si>
  <si>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</si>
  <si>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</si>
  <si>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</si>
  <si>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</si>
  <si>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</si>
  <si>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</si>
  <si>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</si>
  <si>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</si>
  <si>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</si>
  <si>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</si>
  <si>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</si>
  <si>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</si>
  <si>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</si>
  <si>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</si>
  <si>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</si>
  <si>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</si>
  <si>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</si>
  <si>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</si>
  <si>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</si>
  <si>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</si>
  <si>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</si>
  <si>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</si>
  <si>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</si>
  <si>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</si>
  <si>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</si>
  <si>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</si>
  <si>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</si>
  <si>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</si>
  <si>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</si>
  <si>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</si>
  <si>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</si>
  <si>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</si>
  <si>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</si>
  <si>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</si>
  <si>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</si>
  <si>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</si>
  <si>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</si>
  <si>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</si>
  <si>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</si>
  <si>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</si>
  <si>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</si>
  <si>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</si>
  <si>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</si>
  <si>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</si>
  <si>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</si>
  <si>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</si>
  <si>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</si>
  <si>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</si>
  <si>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</si>
  <si>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</si>
  <si>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</si>
  <si>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</si>
  <si>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</si>
  <si>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</si>
  <si>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</si>
  <si>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</si>
  <si>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</si>
  <si>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</si>
  <si>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</si>
  <si>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</si>
  <si>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</si>
  <si>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</si>
  <si>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</si>
  <si>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</si>
  <si>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</si>
  <si>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</si>
  <si>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</si>
  <si>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</si>
  <si>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</si>
  <si>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</si>
  <si>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</si>
  <si>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</si>
  <si>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</si>
  <si>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</si>
  <si>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</si>
  <si>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</si>
  <si>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</si>
  <si>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</si>
  <si>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</si>
  <si>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</si>
  <si>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</si>
  <si>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</si>
  <si>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</si>
  <si>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</si>
  <si>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</si>
  <si>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</si>
  <si>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</si>
  <si>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</si>
  <si>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</si>
  <si>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</si>
  <si>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</si>
  <si>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</si>
  <si>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</si>
  <si>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</si>
  <si>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</si>
  <si>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</si>
  <si>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</si>
  <si>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</si>
  <si>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</si>
  <si>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</si>
  <si>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</si>
  <si>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</si>
  <si>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</si>
  <si>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</si>
  <si>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</si>
  <si>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</si>
  <si>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</si>
  <si>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</si>
  <si>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</si>
  <si>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</si>
  <si>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</si>
  <si>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</si>
  <si>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</si>
  <si>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</si>
  <si>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</si>
  <si>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</si>
  <si>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</si>
  <si>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</si>
  <si>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</si>
  <si>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</si>
  <si>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</si>
  <si>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</si>
  <si>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</si>
  <si>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</si>
  <si>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</si>
  <si>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</si>
  <si>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</si>
  <si>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</si>
  <si>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</si>
  <si>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</si>
  <si>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</si>
  <si>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</si>
  <si>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</si>
  <si>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</si>
  <si>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</si>
  <si>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</si>
  <si>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</si>
  <si>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</si>
  <si>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</si>
  <si>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</si>
  <si>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</si>
  <si>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</si>
  <si>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</si>
  <si>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</si>
  <si>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</si>
  <si>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</si>
  <si>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</si>
  <si>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</si>
  <si>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</si>
  <si>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</si>
  <si>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</si>
  <si>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</si>
  <si>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</si>
  <si>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</si>
  <si>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</si>
  <si>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</si>
  <si>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</si>
  <si>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</si>
  <si>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</si>
  <si>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</si>
  <si>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</si>
  <si>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</si>
  <si>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</si>
  <si>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</si>
  <si>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</si>
  <si>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</si>
  <si>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</si>
  <si>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</si>
  <si>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</si>
  <si>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</si>
  <si>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</si>
  <si>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</si>
  <si>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</si>
  <si>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</si>
  <si>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</si>
  <si>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</si>
  <si>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</si>
  <si>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</si>
  <si>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</si>
  <si>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</si>
  <si>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</si>
  <si>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</si>
  <si>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</si>
  <si>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</si>
  <si>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</si>
  <si>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</si>
  <si>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</si>
  <si>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</si>
  <si>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</si>
  <si>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</si>
  <si>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</si>
  <si>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</si>
  <si>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</si>
  <si>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</si>
  <si>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</si>
  <si>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</si>
  <si>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</si>
  <si>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</si>
  <si>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</si>
  <si>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</si>
  <si>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</si>
  <si>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</si>
  <si>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</si>
  <si>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</si>
  <si>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</si>
  <si>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</si>
  <si>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</si>
  <si>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</si>
  <si>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</si>
  <si>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</si>
  <si>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</si>
  <si>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</si>
  <si>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</si>
  <si>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</si>
  <si>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</si>
  <si>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</si>
  <si>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</si>
  <si>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</si>
  <si>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</si>
  <si>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</si>
  <si>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</si>
  <si>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</si>
  <si>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</si>
  <si>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</si>
  <si>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</si>
  <si>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</si>
  <si>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</si>
  <si>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</si>
  <si>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</si>
  <si>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</si>
  <si>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</si>
  <si>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</si>
  <si>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</si>
  <si>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</si>
  <si>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</si>
  <si>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</si>
  <si>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</si>
  <si>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</si>
  <si>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</si>
  <si>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</si>
  <si>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</si>
  <si>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</si>
  <si>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</si>
  <si>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</si>
  <si>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</si>
  <si>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</si>
  <si>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</si>
  <si>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</si>
  <si>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</si>
  <si>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</si>
  <si>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</si>
  <si>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</si>
  <si>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</si>
  <si>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</si>
  <si>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</si>
  <si>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</si>
  <si>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</si>
  <si>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</si>
  <si>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</si>
  <si>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</si>
  <si>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</si>
  <si>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</si>
  <si>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</si>
  <si>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</si>
  <si>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</si>
  <si>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</si>
  <si>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</si>
  <si>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</si>
  <si>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</si>
  <si>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</si>
  <si>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</si>
  <si>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</si>
  <si>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</si>
  <si>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</si>
  <si>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</si>
  <si>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</si>
  <si>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</si>
  <si>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</si>
  <si>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</si>
  <si>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</si>
  <si>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</si>
  <si>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</si>
  <si>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</si>
  <si>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</si>
  <si>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</si>
  <si>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</si>
  <si>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</si>
  <si>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</si>
  <si>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</si>
  <si>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</si>
  <si>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</si>
  <si>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</si>
  <si>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</si>
  <si>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</si>
  <si>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</si>
  <si>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</si>
  <si>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</si>
  <si>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</si>
  <si>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</si>
  <si>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</si>
  <si>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</si>
  <si>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</si>
  <si>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</si>
  <si>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</si>
  <si>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</si>
  <si>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</si>
  <si>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</si>
  <si>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</si>
  <si>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</si>
  <si>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</si>
  <si>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</si>
  <si>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</si>
  <si>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</si>
  <si>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</si>
  <si>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</si>
  <si>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</si>
  <si>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</si>
  <si>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</si>
  <si>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</si>
  <si>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</si>
  <si>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</si>
  <si>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</si>
  <si>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</si>
  <si>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</si>
  <si>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</si>
  <si>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</si>
  <si>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</si>
  <si>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</si>
  <si>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</si>
  <si>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</si>
  <si>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</si>
  <si>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</si>
  <si>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</si>
  <si>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</si>
  <si>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</si>
  <si>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</si>
  <si>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</si>
  <si>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</si>
  <si>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</si>
  <si>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</si>
  <si>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</si>
  <si>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</si>
  <si>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</si>
  <si>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</si>
  <si>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</si>
  <si>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</si>
  <si>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</si>
  <si>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</si>
  <si>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</si>
  <si>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</si>
  <si>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</si>
  <si>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</si>
  <si>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</si>
  <si>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</si>
  <si>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</si>
  <si>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</si>
  <si>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</si>
  <si>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</si>
  <si>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</si>
  <si>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</si>
  <si>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</si>
  <si>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</si>
  <si>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</si>
  <si>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</si>
  <si>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</si>
  <si>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</si>
  <si>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</si>
  <si>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</si>
  <si>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</si>
  <si>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</si>
  <si>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</si>
  <si>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</si>
  <si>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</si>
  <si>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</si>
  <si>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</si>
  <si>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</si>
  <si>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</si>
  <si>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</si>
  <si>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</si>
  <si>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</si>
  <si>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</si>
  <si>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</si>
  <si>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</si>
  <si>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</si>
  <si>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</si>
  <si>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</si>
  <si>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</si>
  <si>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</si>
  <si>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</si>
  <si>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</si>
  <si>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</si>
  <si>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</si>
  <si>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</si>
  <si>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</si>
  <si>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</si>
  <si>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</si>
  <si>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</si>
  <si>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</si>
  <si>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</si>
  <si>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</si>
  <si>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</si>
  <si>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</si>
  <si>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</si>
  <si>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</si>
  <si>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</si>
  <si>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</si>
  <si>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</si>
  <si>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</si>
  <si>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</si>
  <si>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</si>
  <si>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</si>
  <si>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</si>
  <si>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</si>
  <si>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</si>
  <si>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</si>
  <si>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</si>
  <si>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</si>
  <si>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</si>
  <si>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</si>
  <si>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</si>
  <si>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</si>
  <si>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</si>
  <si>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</si>
  <si>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</si>
  <si>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</si>
  <si>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</si>
  <si>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</si>
  <si>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</si>
  <si>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</si>
  <si>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</si>
  <si>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</si>
  <si>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</si>
  <si>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</si>
  <si>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</si>
  <si>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</si>
  <si>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</si>
  <si>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</si>
  <si>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</si>
  <si>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</si>
  <si>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</si>
  <si>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</si>
  <si>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</si>
  <si>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</si>
  <si>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</si>
  <si>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</si>
  <si>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</si>
  <si>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</si>
  <si>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</si>
  <si>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</si>
  <si>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</si>
  <si>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</si>
  <si>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</si>
  <si>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</si>
  <si>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</si>
  <si>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</si>
  <si>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</si>
  <si>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</si>
  <si>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</si>
  <si>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</si>
  <si>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</si>
  <si>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</si>
  <si>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</si>
  <si>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</si>
  <si>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</si>
  <si>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</si>
  <si>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</si>
  <si>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</si>
  <si>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</si>
  <si>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</si>
  <si>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</si>
  <si>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</si>
  <si>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</si>
  <si>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</si>
  <si>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</si>
  <si>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</si>
  <si>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</si>
  <si>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</si>
  <si>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</si>
  <si>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</si>
  <si>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</si>
  <si>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</si>
  <si>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</si>
  <si>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35014</t>
  </si>
  <si>
    <t>OUDENBURG</t>
  </si>
  <si>
    <t>referentietaak LNE (2017); Jaarverslag De Lijn</t>
  </si>
  <si>
    <t>J en A</t>
  </si>
  <si>
    <t>WKK-0838</t>
  </si>
  <si>
    <t>Brandstofcel</t>
  </si>
  <si>
    <t>brandstofcel</t>
  </si>
  <si>
    <t>Hoogstraat 5</t>
  </si>
  <si>
    <t>W.V.E.M.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</si>
</sst>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76054.968302343143</c:v>
                </c:pt>
                <c:pt idx="1">
                  <c:v>19497.301531613746</c:v>
                </c:pt>
                <c:pt idx="2">
                  <c:v>950.83299999999997</c:v>
                </c:pt>
                <c:pt idx="3">
                  <c:v>7915.9573547011341</c:v>
                </c:pt>
                <c:pt idx="4">
                  <c:v>5047.4444494709223</c:v>
                </c:pt>
                <c:pt idx="5">
                  <c:v>150707.98496857003</c:v>
                </c:pt>
                <c:pt idx="6">
                  <c:v>992.94098281150241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76054.968302343143</c:v>
                </c:pt>
                <c:pt idx="1">
                  <c:v>19497.301531613746</c:v>
                </c:pt>
                <c:pt idx="2">
                  <c:v>950.83299999999997</c:v>
                </c:pt>
                <c:pt idx="3">
                  <c:v>7915.9573547011341</c:v>
                </c:pt>
                <c:pt idx="4">
                  <c:v>5047.4444494709223</c:v>
                </c:pt>
                <c:pt idx="5">
                  <c:v>150707.98496857003</c:v>
                </c:pt>
                <c:pt idx="6">
                  <c:v>992.94098281150241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14970.179615599383</c:v>
                </c:pt>
                <c:pt idx="1">
                  <c:v>3713.4549660683592</c:v>
                </c:pt>
                <c:pt idx="2">
                  <c:v>172.29699988338024</c:v>
                </c:pt>
                <c:pt idx="3">
                  <c:v>2000.3861624843594</c:v>
                </c:pt>
                <c:pt idx="4">
                  <c:v>1034.4991121747801</c:v>
                </c:pt>
                <c:pt idx="5">
                  <c:v>37562.883254248045</c:v>
                </c:pt>
                <c:pt idx="6">
                  <c:v>250.00684821354326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14970.179615599383</c:v>
                </c:pt>
                <c:pt idx="1">
                  <c:v>3713.4549660683592</c:v>
                </c:pt>
                <c:pt idx="2">
                  <c:v>172.29699988338024</c:v>
                </c:pt>
                <c:pt idx="3">
                  <c:v>2000.3861624843594</c:v>
                </c:pt>
                <c:pt idx="4">
                  <c:v>1034.4991121747801</c:v>
                </c:pt>
                <c:pt idx="5">
                  <c:v>37562.883254248045</c:v>
                </c:pt>
                <c:pt idx="6">
                  <c:v>250.00684821354326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35014</v>
      </c>
      <c r="B6" s="386"/>
      <c r="C6" s="387"/>
    </row>
    <row r="7" spans="1:7" s="384" customFormat="1" ht="15.75" customHeight="1">
      <c r="A7" s="388" t="str">
        <f>txtMunicipality</f>
        <v>OUDENBURG</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8525.7553026666665</v>
      </c>
      <c r="D10" s="681">
        <f ca="1">tertiair!C16</f>
        <v>32.468468468468465</v>
      </c>
      <c r="E10" s="681">
        <f ca="1">tertiair!D16</f>
        <v>10300.92023372274</v>
      </c>
      <c r="F10" s="681">
        <f>tertiair!E16</f>
        <v>122.75104987500703</v>
      </c>
      <c r="G10" s="681">
        <f ca="1">tertiair!F16</f>
        <v>842.27866496993863</v>
      </c>
      <c r="H10" s="681">
        <f>tertiair!G16</f>
        <v>0</v>
      </c>
      <c r="I10" s="681">
        <f>tertiair!H16</f>
        <v>0</v>
      </c>
      <c r="J10" s="681">
        <f>tertiair!I16</f>
        <v>0</v>
      </c>
      <c r="K10" s="681">
        <f>tertiair!J16</f>
        <v>1.3046386572087294E-2</v>
      </c>
      <c r="L10" s="681">
        <f>tertiair!K16</f>
        <v>0</v>
      </c>
      <c r="M10" s="681">
        <f ca="1">tertiair!L16</f>
        <v>0</v>
      </c>
      <c r="N10" s="681">
        <f>tertiair!M16</f>
        <v>0</v>
      </c>
      <c r="O10" s="681">
        <f ca="1">tertiair!N16</f>
        <v>513.9722281455297</v>
      </c>
      <c r="P10" s="681">
        <f>tertiair!O16</f>
        <v>4.8972607658411542</v>
      </c>
      <c r="Q10" s="682">
        <f>tertiair!P16</f>
        <v>105.07827661299004</v>
      </c>
      <c r="R10" s="684">
        <f ca="1">SUM(C10:Q10)</f>
        <v>20448.134531613745</v>
      </c>
      <c r="S10" s="67"/>
    </row>
    <row r="11" spans="1:19" s="444" customFormat="1">
      <c r="A11" s="802" t="s">
        <v>219</v>
      </c>
      <c r="B11" s="807"/>
      <c r="C11" s="681">
        <f>huishoudens!B8</f>
        <v>16058.027039452074</v>
      </c>
      <c r="D11" s="681">
        <f>huishoudens!C8</f>
        <v>0</v>
      </c>
      <c r="E11" s="681">
        <f>huishoudens!D8</f>
        <v>36360.859911749998</v>
      </c>
      <c r="F11" s="681">
        <f>huishoudens!E8</f>
        <v>1035.4122275368704</v>
      </c>
      <c r="G11" s="681">
        <f>huishoudens!F8</f>
        <v>16692.225111870241</v>
      </c>
      <c r="H11" s="681">
        <f>huishoudens!G8</f>
        <v>0</v>
      </c>
      <c r="I11" s="681">
        <f>huishoudens!H8</f>
        <v>0</v>
      </c>
      <c r="J11" s="681">
        <f>huishoudens!I8</f>
        <v>0</v>
      </c>
      <c r="K11" s="681">
        <f>huishoudens!J8</f>
        <v>66.684703392478909</v>
      </c>
      <c r="L11" s="681">
        <f>huishoudens!K8</f>
        <v>0</v>
      </c>
      <c r="M11" s="681">
        <f>huishoudens!L8</f>
        <v>0</v>
      </c>
      <c r="N11" s="681">
        <f>huishoudens!M8</f>
        <v>0</v>
      </c>
      <c r="O11" s="681">
        <f>huishoudens!N8</f>
        <v>5240.1919991063369</v>
      </c>
      <c r="P11" s="681">
        <f>huishoudens!O8</f>
        <v>253.94665208154007</v>
      </c>
      <c r="Q11" s="682">
        <f>huishoudens!P8</f>
        <v>347.62065715360575</v>
      </c>
      <c r="R11" s="684">
        <f>SUM(C11:Q11)</f>
        <v>76054.968302343143</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1859.297133</v>
      </c>
      <c r="D13" s="681">
        <f>industrie!C18</f>
        <v>0</v>
      </c>
      <c r="E13" s="681">
        <f>industrie!D18</f>
        <v>1668.3410039999999</v>
      </c>
      <c r="F13" s="681">
        <f>industrie!E18</f>
        <v>340.95046390856817</v>
      </c>
      <c r="G13" s="681">
        <f>industrie!F18</f>
        <v>1053.13385443368</v>
      </c>
      <c r="H13" s="681">
        <f>industrie!G18</f>
        <v>0</v>
      </c>
      <c r="I13" s="681">
        <f>industrie!H18</f>
        <v>0</v>
      </c>
      <c r="J13" s="681">
        <f>industrie!I18</f>
        <v>0</v>
      </c>
      <c r="K13" s="681">
        <f>industrie!J18</f>
        <v>5.6362822147082507</v>
      </c>
      <c r="L13" s="681">
        <f>industrie!K18</f>
        <v>0</v>
      </c>
      <c r="M13" s="681">
        <f>industrie!L18</f>
        <v>0</v>
      </c>
      <c r="N13" s="681">
        <f>industrie!M18</f>
        <v>0</v>
      </c>
      <c r="O13" s="681">
        <f>industrie!N18</f>
        <v>120.08571191396598</v>
      </c>
      <c r="P13" s="681">
        <f>industrie!O18</f>
        <v>0</v>
      </c>
      <c r="Q13" s="682">
        <f>industrie!P18</f>
        <v>0</v>
      </c>
      <c r="R13" s="684">
        <f>SUM(C13:Q13)</f>
        <v>5047.4444494709223</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26443.079475118742</v>
      </c>
      <c r="D16" s="717">
        <f t="shared" ref="D16:R16" ca="1" si="0">SUM(D9:D15)</f>
        <v>32.468468468468465</v>
      </c>
      <c r="E16" s="717">
        <f t="shared" ca="1" si="0"/>
        <v>48330.121149472739</v>
      </c>
      <c r="F16" s="717">
        <f t="shared" si="0"/>
        <v>1499.1137413204456</v>
      </c>
      <c r="G16" s="717">
        <f t="shared" ca="1" si="0"/>
        <v>18587.637631273858</v>
      </c>
      <c r="H16" s="717">
        <f t="shared" si="0"/>
        <v>0</v>
      </c>
      <c r="I16" s="717">
        <f t="shared" si="0"/>
        <v>0</v>
      </c>
      <c r="J16" s="717">
        <f t="shared" si="0"/>
        <v>0</v>
      </c>
      <c r="K16" s="717">
        <f t="shared" si="0"/>
        <v>72.33403199375924</v>
      </c>
      <c r="L16" s="717">
        <f t="shared" si="0"/>
        <v>0</v>
      </c>
      <c r="M16" s="717">
        <f t="shared" ca="1" si="0"/>
        <v>0</v>
      </c>
      <c r="N16" s="717">
        <f t="shared" si="0"/>
        <v>0</v>
      </c>
      <c r="O16" s="717">
        <f t="shared" ca="1" si="0"/>
        <v>5874.249939165833</v>
      </c>
      <c r="P16" s="717">
        <f t="shared" si="0"/>
        <v>258.8439128473812</v>
      </c>
      <c r="Q16" s="717">
        <f t="shared" si="0"/>
        <v>452.69893376659581</v>
      </c>
      <c r="R16" s="717">
        <f t="shared" ca="1" si="0"/>
        <v>101550.5472834278</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12.803950642437458</v>
      </c>
      <c r="D19" s="681">
        <f>transport!C54</f>
        <v>0</v>
      </c>
      <c r="E19" s="681">
        <f>transport!D54</f>
        <v>0</v>
      </c>
      <c r="F19" s="681">
        <f>transport!E54</f>
        <v>0</v>
      </c>
      <c r="G19" s="681">
        <f>transport!F54</f>
        <v>0</v>
      </c>
      <c r="H19" s="681">
        <f>transport!G54</f>
        <v>927.66550842376137</v>
      </c>
      <c r="I19" s="681">
        <f>transport!H54</f>
        <v>0</v>
      </c>
      <c r="J19" s="681">
        <f>transport!I54</f>
        <v>0</v>
      </c>
      <c r="K19" s="681">
        <f>transport!J54</f>
        <v>0</v>
      </c>
      <c r="L19" s="681">
        <f>transport!K54</f>
        <v>0</v>
      </c>
      <c r="M19" s="681">
        <f>transport!L54</f>
        <v>0</v>
      </c>
      <c r="N19" s="681">
        <f>transport!M54</f>
        <v>52.471523745303571</v>
      </c>
      <c r="O19" s="681">
        <f>transport!N54</f>
        <v>0</v>
      </c>
      <c r="P19" s="681">
        <f>transport!O54</f>
        <v>0</v>
      </c>
      <c r="Q19" s="682">
        <f>transport!P54</f>
        <v>0</v>
      </c>
      <c r="R19" s="684">
        <f>SUM(C19:Q19)</f>
        <v>992.94098281150241</v>
      </c>
      <c r="S19" s="67"/>
    </row>
    <row r="20" spans="1:19" s="444" customFormat="1">
      <c r="A20" s="802" t="s">
        <v>301</v>
      </c>
      <c r="B20" s="807"/>
      <c r="C20" s="681">
        <f>transport!B14</f>
        <v>164.75809854859597</v>
      </c>
      <c r="D20" s="681">
        <f>transport!C14</f>
        <v>0</v>
      </c>
      <c r="E20" s="681">
        <f>transport!D14</f>
        <v>245.05057732763197</v>
      </c>
      <c r="F20" s="681">
        <f>transport!E14</f>
        <v>243.44027904577669</v>
      </c>
      <c r="G20" s="681">
        <f>transport!F14</f>
        <v>0</v>
      </c>
      <c r="H20" s="681">
        <f>transport!G14</f>
        <v>119237.12163251196</v>
      </c>
      <c r="I20" s="681">
        <f>transport!H14</f>
        <v>22457.65221218942</v>
      </c>
      <c r="J20" s="681">
        <f>transport!I14</f>
        <v>0</v>
      </c>
      <c r="K20" s="681">
        <f>transport!J14</f>
        <v>0</v>
      </c>
      <c r="L20" s="681">
        <f>transport!K14</f>
        <v>0</v>
      </c>
      <c r="M20" s="681">
        <f>transport!L14</f>
        <v>0</v>
      </c>
      <c r="N20" s="681">
        <f>transport!M14</f>
        <v>8359.9621689466549</v>
      </c>
      <c r="O20" s="681">
        <f>transport!N14</f>
        <v>0</v>
      </c>
      <c r="P20" s="681">
        <f>transport!O14</f>
        <v>0</v>
      </c>
      <c r="Q20" s="682">
        <f>transport!P14</f>
        <v>0</v>
      </c>
      <c r="R20" s="684">
        <f>SUM(C20:Q20)</f>
        <v>150707.98496857003</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177.56204919103342</v>
      </c>
      <c r="D22" s="805">
        <f t="shared" ref="D22:R22" si="1">SUM(D18:D21)</f>
        <v>0</v>
      </c>
      <c r="E22" s="805">
        <f t="shared" si="1"/>
        <v>245.05057732763197</v>
      </c>
      <c r="F22" s="805">
        <f t="shared" si="1"/>
        <v>243.44027904577669</v>
      </c>
      <c r="G22" s="805">
        <f t="shared" si="1"/>
        <v>0</v>
      </c>
      <c r="H22" s="805">
        <f t="shared" si="1"/>
        <v>120164.78714093572</v>
      </c>
      <c r="I22" s="805">
        <f t="shared" si="1"/>
        <v>22457.65221218942</v>
      </c>
      <c r="J22" s="805">
        <f t="shared" si="1"/>
        <v>0</v>
      </c>
      <c r="K22" s="805">
        <f t="shared" si="1"/>
        <v>0</v>
      </c>
      <c r="L22" s="805">
        <f t="shared" si="1"/>
        <v>0</v>
      </c>
      <c r="M22" s="805">
        <f t="shared" si="1"/>
        <v>0</v>
      </c>
      <c r="N22" s="805">
        <f t="shared" si="1"/>
        <v>8412.4336926919586</v>
      </c>
      <c r="O22" s="805">
        <f t="shared" si="1"/>
        <v>0</v>
      </c>
      <c r="P22" s="805">
        <f t="shared" si="1"/>
        <v>0</v>
      </c>
      <c r="Q22" s="805">
        <f t="shared" si="1"/>
        <v>0</v>
      </c>
      <c r="R22" s="805">
        <f t="shared" si="1"/>
        <v>151700.92595138153</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1595.362862</v>
      </c>
      <c r="D24" s="681">
        <f>+landbouw!C8</f>
        <v>0</v>
      </c>
      <c r="E24" s="681">
        <f>+landbouw!D8</f>
        <v>193.08112779999999</v>
      </c>
      <c r="F24" s="681">
        <f>+landbouw!E8</f>
        <v>49.790748837250206</v>
      </c>
      <c r="G24" s="681">
        <f>+landbouw!F8</f>
        <v>5638.1890838383979</v>
      </c>
      <c r="H24" s="681">
        <f>+landbouw!G8</f>
        <v>0</v>
      </c>
      <c r="I24" s="681">
        <f>+landbouw!H8</f>
        <v>0</v>
      </c>
      <c r="J24" s="681">
        <f>+landbouw!I8</f>
        <v>0</v>
      </c>
      <c r="K24" s="681">
        <f>+landbouw!J8</f>
        <v>439.53353222548606</v>
      </c>
      <c r="L24" s="681">
        <f>+landbouw!K8</f>
        <v>0</v>
      </c>
      <c r="M24" s="681">
        <f>+landbouw!L8</f>
        <v>0</v>
      </c>
      <c r="N24" s="681">
        <f>+landbouw!M8</f>
        <v>0</v>
      </c>
      <c r="O24" s="681">
        <f>+landbouw!N8</f>
        <v>0</v>
      </c>
      <c r="P24" s="681">
        <f>+landbouw!O8</f>
        <v>0</v>
      </c>
      <c r="Q24" s="682">
        <f>+landbouw!P8</f>
        <v>0</v>
      </c>
      <c r="R24" s="684">
        <f>SUM(C24:Q24)</f>
        <v>7915.9573547011341</v>
      </c>
      <c r="S24" s="67"/>
    </row>
    <row r="25" spans="1:19" s="444" customFormat="1" ht="15" thickBot="1">
      <c r="A25" s="824" t="s">
        <v>714</v>
      </c>
      <c r="B25" s="943"/>
      <c r="C25" s="944">
        <f>IF(Onbekend_ele_kWh="---",0,Onbekend_ele_kWh)/1000+IF(REST_rest_ele_kWh="---",0,REST_rest_ele_kWh)/1000</f>
        <v>288.97645</v>
      </c>
      <c r="D25" s="944"/>
      <c r="E25" s="944">
        <f>IF(onbekend_gas_kWh="---",0,onbekend_gas_kWh)/1000+IF(REST_rest_gas_kWh="---",0,REST_rest_gas_kWh)/1000</f>
        <v>497.0308</v>
      </c>
      <c r="F25" s="944"/>
      <c r="G25" s="944"/>
      <c r="H25" s="944"/>
      <c r="I25" s="944"/>
      <c r="J25" s="944"/>
      <c r="K25" s="944"/>
      <c r="L25" s="944"/>
      <c r="M25" s="944"/>
      <c r="N25" s="944"/>
      <c r="O25" s="944"/>
      <c r="P25" s="944"/>
      <c r="Q25" s="945"/>
      <c r="R25" s="684">
        <f>SUM(C25:Q25)</f>
        <v>786.00725</v>
      </c>
      <c r="S25" s="67"/>
    </row>
    <row r="26" spans="1:19" s="444" customFormat="1" ht="15.75" thickBot="1">
      <c r="A26" s="689" t="s">
        <v>715</v>
      </c>
      <c r="B26" s="810"/>
      <c r="C26" s="805">
        <f>SUM(C24:C25)</f>
        <v>1884.3393120000001</v>
      </c>
      <c r="D26" s="805">
        <f t="shared" ref="D26:R26" si="2">SUM(D24:D25)</f>
        <v>0</v>
      </c>
      <c r="E26" s="805">
        <f t="shared" si="2"/>
        <v>690.11192779999999</v>
      </c>
      <c r="F26" s="805">
        <f t="shared" si="2"/>
        <v>49.790748837250206</v>
      </c>
      <c r="G26" s="805">
        <f t="shared" si="2"/>
        <v>5638.1890838383979</v>
      </c>
      <c r="H26" s="805">
        <f t="shared" si="2"/>
        <v>0</v>
      </c>
      <c r="I26" s="805">
        <f t="shared" si="2"/>
        <v>0</v>
      </c>
      <c r="J26" s="805">
        <f t="shared" si="2"/>
        <v>0</v>
      </c>
      <c r="K26" s="805">
        <f t="shared" si="2"/>
        <v>439.53353222548606</v>
      </c>
      <c r="L26" s="805">
        <f t="shared" si="2"/>
        <v>0</v>
      </c>
      <c r="M26" s="805">
        <f t="shared" si="2"/>
        <v>0</v>
      </c>
      <c r="N26" s="805">
        <f t="shared" si="2"/>
        <v>0</v>
      </c>
      <c r="O26" s="805">
        <f t="shared" si="2"/>
        <v>0</v>
      </c>
      <c r="P26" s="805">
        <f t="shared" si="2"/>
        <v>0</v>
      </c>
      <c r="Q26" s="805">
        <f t="shared" si="2"/>
        <v>0</v>
      </c>
      <c r="R26" s="805">
        <f t="shared" si="2"/>
        <v>8701.9646047011338</v>
      </c>
      <c r="S26" s="67"/>
    </row>
    <row r="27" spans="1:19" s="444" customFormat="1" ht="17.25" thickTop="1" thickBot="1">
      <c r="A27" s="690" t="s">
        <v>115</v>
      </c>
      <c r="B27" s="797"/>
      <c r="C27" s="691">
        <f ca="1">C22+C16+C26</f>
        <v>28504.980836309776</v>
      </c>
      <c r="D27" s="691">
        <f t="shared" ref="D27:R27" ca="1" si="3">D22+D16+D26</f>
        <v>32.468468468468465</v>
      </c>
      <c r="E27" s="691">
        <f t="shared" ca="1" si="3"/>
        <v>49265.283654600367</v>
      </c>
      <c r="F27" s="691">
        <f t="shared" si="3"/>
        <v>1792.3447692034724</v>
      </c>
      <c r="G27" s="691">
        <f t="shared" ca="1" si="3"/>
        <v>24225.826715112256</v>
      </c>
      <c r="H27" s="691">
        <f t="shared" si="3"/>
        <v>120164.78714093572</v>
      </c>
      <c r="I27" s="691">
        <f t="shared" si="3"/>
        <v>22457.65221218942</v>
      </c>
      <c r="J27" s="691">
        <f t="shared" si="3"/>
        <v>0</v>
      </c>
      <c r="K27" s="691">
        <f t="shared" si="3"/>
        <v>511.86756421924531</v>
      </c>
      <c r="L27" s="691">
        <f t="shared" si="3"/>
        <v>0</v>
      </c>
      <c r="M27" s="691">
        <f t="shared" ca="1" si="3"/>
        <v>0</v>
      </c>
      <c r="N27" s="691">
        <f t="shared" si="3"/>
        <v>8412.4336926919586</v>
      </c>
      <c r="O27" s="691">
        <f t="shared" ca="1" si="3"/>
        <v>5874.249939165833</v>
      </c>
      <c r="P27" s="691">
        <f t="shared" si="3"/>
        <v>258.8439128473812</v>
      </c>
      <c r="Q27" s="691">
        <f t="shared" si="3"/>
        <v>452.69893376659581</v>
      </c>
      <c r="R27" s="691">
        <f t="shared" ca="1" si="3"/>
        <v>261953.4378395105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1544.9212010829317</v>
      </c>
      <c r="D40" s="681">
        <f ca="1">tertiair!C20</f>
        <v>7.2873673673673665</v>
      </c>
      <c r="E40" s="681">
        <f ca="1">tertiair!D20</f>
        <v>2080.7858872119937</v>
      </c>
      <c r="F40" s="681">
        <f>tertiair!E20</f>
        <v>27.864488321626595</v>
      </c>
      <c r="G40" s="681">
        <f ca="1">tertiair!F20</f>
        <v>224.88840354697362</v>
      </c>
      <c r="H40" s="681">
        <f>tertiair!G20</f>
        <v>0</v>
      </c>
      <c r="I40" s="681">
        <f>tertiair!H20</f>
        <v>0</v>
      </c>
      <c r="J40" s="681">
        <f>tertiair!I20</f>
        <v>0</v>
      </c>
      <c r="K40" s="681">
        <f>tertiair!J20</f>
        <v>4.6184208465189017E-3</v>
      </c>
      <c r="L40" s="681">
        <f>tertiair!K20</f>
        <v>0</v>
      </c>
      <c r="M40" s="681">
        <f ca="1">tertiair!L20</f>
        <v>0</v>
      </c>
      <c r="N40" s="681">
        <f>tertiair!M20</f>
        <v>0</v>
      </c>
      <c r="O40" s="681">
        <f ca="1">tertiair!N20</f>
        <v>0</v>
      </c>
      <c r="P40" s="681">
        <f>tertiair!O20</f>
        <v>0</v>
      </c>
      <c r="Q40" s="764">
        <f>tertiair!P20</f>
        <v>0</v>
      </c>
      <c r="R40" s="843">
        <f t="shared" ca="1" si="4"/>
        <v>3885.7519659517393</v>
      </c>
    </row>
    <row r="41" spans="1:18">
      <c r="A41" s="815" t="s">
        <v>219</v>
      </c>
      <c r="B41" s="822"/>
      <c r="C41" s="681">
        <f ca="1">huishoudens!B12</f>
        <v>2909.8168479047222</v>
      </c>
      <c r="D41" s="681">
        <f ca="1">huishoudens!C12</f>
        <v>0</v>
      </c>
      <c r="E41" s="681">
        <f>huishoudens!D12</f>
        <v>7344.8937021735001</v>
      </c>
      <c r="F41" s="681">
        <f>huishoudens!E12</f>
        <v>235.0385756508696</v>
      </c>
      <c r="G41" s="681">
        <f>huishoudens!F12</f>
        <v>4456.8241048693544</v>
      </c>
      <c r="H41" s="681">
        <f>huishoudens!G12</f>
        <v>0</v>
      </c>
      <c r="I41" s="681">
        <f>huishoudens!H12</f>
        <v>0</v>
      </c>
      <c r="J41" s="681">
        <f>huishoudens!I12</f>
        <v>0</v>
      </c>
      <c r="K41" s="681">
        <f>huishoudens!J12</f>
        <v>23.606385000937532</v>
      </c>
      <c r="L41" s="681">
        <f>huishoudens!K12</f>
        <v>0</v>
      </c>
      <c r="M41" s="681">
        <f>huishoudens!L12</f>
        <v>0</v>
      </c>
      <c r="N41" s="681">
        <f>huishoudens!M12</f>
        <v>0</v>
      </c>
      <c r="O41" s="681">
        <f>huishoudens!N12</f>
        <v>0</v>
      </c>
      <c r="P41" s="681">
        <f>huishoudens!O12</f>
        <v>0</v>
      </c>
      <c r="Q41" s="764">
        <f>huishoudens!P12</f>
        <v>0</v>
      </c>
      <c r="R41" s="843">
        <f t="shared" ca="1" si="4"/>
        <v>14970.179615599383</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336.91649102173591</v>
      </c>
      <c r="D43" s="681">
        <f ca="1">industrie!C22</f>
        <v>0</v>
      </c>
      <c r="E43" s="681">
        <f>industrie!D22</f>
        <v>337.00488280799999</v>
      </c>
      <c r="F43" s="681">
        <f>industrie!E22</f>
        <v>77.395755307244983</v>
      </c>
      <c r="G43" s="681">
        <f>industrie!F22</f>
        <v>281.18673913379257</v>
      </c>
      <c r="H43" s="681">
        <f>industrie!G22</f>
        <v>0</v>
      </c>
      <c r="I43" s="681">
        <f>industrie!H22</f>
        <v>0</v>
      </c>
      <c r="J43" s="681">
        <f>industrie!I22</f>
        <v>0</v>
      </c>
      <c r="K43" s="681">
        <f>industrie!J22</f>
        <v>1.9952439040067207</v>
      </c>
      <c r="L43" s="681">
        <f>industrie!K22</f>
        <v>0</v>
      </c>
      <c r="M43" s="681">
        <f>industrie!L22</f>
        <v>0</v>
      </c>
      <c r="N43" s="681">
        <f>industrie!M22</f>
        <v>0</v>
      </c>
      <c r="O43" s="681">
        <f>industrie!N22</f>
        <v>0</v>
      </c>
      <c r="P43" s="681">
        <f>industrie!O22</f>
        <v>0</v>
      </c>
      <c r="Q43" s="764">
        <f>industrie!P22</f>
        <v>0</v>
      </c>
      <c r="R43" s="842">
        <f t="shared" ca="1" si="4"/>
        <v>1034.4991121747801</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4791.6545400093901</v>
      </c>
      <c r="D46" s="717">
        <f t="shared" ref="D46:Q46" ca="1" si="5">SUM(D39:D45)</f>
        <v>7.2873673673673665</v>
      </c>
      <c r="E46" s="717">
        <f t="shared" ca="1" si="5"/>
        <v>9762.684472193494</v>
      </c>
      <c r="F46" s="717">
        <f t="shared" si="5"/>
        <v>340.29881927974117</v>
      </c>
      <c r="G46" s="717">
        <f t="shared" ca="1" si="5"/>
        <v>4962.8992475501209</v>
      </c>
      <c r="H46" s="717">
        <f t="shared" si="5"/>
        <v>0</v>
      </c>
      <c r="I46" s="717">
        <f t="shared" si="5"/>
        <v>0</v>
      </c>
      <c r="J46" s="717">
        <f t="shared" si="5"/>
        <v>0</v>
      </c>
      <c r="K46" s="717">
        <f t="shared" si="5"/>
        <v>25.606247325790772</v>
      </c>
      <c r="L46" s="717">
        <f t="shared" si="5"/>
        <v>0</v>
      </c>
      <c r="M46" s="717">
        <f t="shared" ca="1" si="5"/>
        <v>0</v>
      </c>
      <c r="N46" s="717">
        <f t="shared" si="5"/>
        <v>0</v>
      </c>
      <c r="O46" s="717">
        <f t="shared" ca="1" si="5"/>
        <v>0</v>
      </c>
      <c r="P46" s="717">
        <f t="shared" si="5"/>
        <v>0</v>
      </c>
      <c r="Q46" s="717">
        <f t="shared" si="5"/>
        <v>0</v>
      </c>
      <c r="R46" s="717">
        <f ca="1">SUM(R39:R45)</f>
        <v>19890.430693725903</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2.3201574643989566</v>
      </c>
      <c r="D49" s="681">
        <f ca="1">transport!C58</f>
        <v>0</v>
      </c>
      <c r="E49" s="681">
        <f>transport!D58</f>
        <v>0</v>
      </c>
      <c r="F49" s="681">
        <f>transport!E58</f>
        <v>0</v>
      </c>
      <c r="G49" s="681">
        <f>transport!F58</f>
        <v>0</v>
      </c>
      <c r="H49" s="681">
        <f>transport!G58</f>
        <v>247.6866907491443</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250.00684821354326</v>
      </c>
    </row>
    <row r="50" spans="1:18">
      <c r="A50" s="818" t="s">
        <v>301</v>
      </c>
      <c r="B50" s="828"/>
      <c r="C50" s="687">
        <f ca="1">transport!B18</f>
        <v>29.855217568609199</v>
      </c>
      <c r="D50" s="687">
        <f>transport!C18</f>
        <v>0</v>
      </c>
      <c r="E50" s="687">
        <f>transport!D18</f>
        <v>49.500216620181661</v>
      </c>
      <c r="F50" s="687">
        <f>transport!E18</f>
        <v>55.260943343391311</v>
      </c>
      <c r="G50" s="687">
        <f>transport!F18</f>
        <v>0</v>
      </c>
      <c r="H50" s="687">
        <f>transport!G18</f>
        <v>31836.311475880695</v>
      </c>
      <c r="I50" s="687">
        <f>transport!H18</f>
        <v>5591.9554008351652</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37562.883254248045</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32.175375033008152</v>
      </c>
      <c r="D52" s="717">
        <f t="shared" ref="D52:Q52" ca="1" si="6">SUM(D48:D51)</f>
        <v>0</v>
      </c>
      <c r="E52" s="717">
        <f t="shared" si="6"/>
        <v>49.500216620181661</v>
      </c>
      <c r="F52" s="717">
        <f t="shared" si="6"/>
        <v>55.260943343391311</v>
      </c>
      <c r="G52" s="717">
        <f t="shared" si="6"/>
        <v>0</v>
      </c>
      <c r="H52" s="717">
        <f t="shared" si="6"/>
        <v>32083.998166629841</v>
      </c>
      <c r="I52" s="717">
        <f t="shared" si="6"/>
        <v>5591.9554008351652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37812.890102461592</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289.08991889002925</v>
      </c>
      <c r="D54" s="687">
        <f ca="1">+landbouw!C12</f>
        <v>0</v>
      </c>
      <c r="E54" s="687">
        <f>+landbouw!D12</f>
        <v>39.002387815600002</v>
      </c>
      <c r="F54" s="687">
        <f>+landbouw!E12</f>
        <v>11.302499986055798</v>
      </c>
      <c r="G54" s="687">
        <f>+landbouw!F12</f>
        <v>1505.3964853848522</v>
      </c>
      <c r="H54" s="687">
        <f>+landbouw!G12</f>
        <v>0</v>
      </c>
      <c r="I54" s="687">
        <f>+landbouw!H12</f>
        <v>0</v>
      </c>
      <c r="J54" s="687">
        <f>+landbouw!I12</f>
        <v>0</v>
      </c>
      <c r="K54" s="687">
        <f>+landbouw!J12</f>
        <v>155.59487040782204</v>
      </c>
      <c r="L54" s="687">
        <f>+landbouw!K12</f>
        <v>0</v>
      </c>
      <c r="M54" s="687">
        <f>+landbouw!L12</f>
        <v>0</v>
      </c>
      <c r="N54" s="687">
        <f>+landbouw!M12</f>
        <v>0</v>
      </c>
      <c r="O54" s="687">
        <f>+landbouw!N12</f>
        <v>0</v>
      </c>
      <c r="P54" s="687">
        <f>+landbouw!O12</f>
        <v>0</v>
      </c>
      <c r="Q54" s="688">
        <f>+landbouw!P12</f>
        <v>0</v>
      </c>
      <c r="R54" s="716">
        <f ca="1">SUM(C54:Q54)</f>
        <v>2000.3861624843594</v>
      </c>
    </row>
    <row r="55" spans="1:18" ht="15" thickBot="1">
      <c r="A55" s="818" t="s">
        <v>714</v>
      </c>
      <c r="B55" s="828"/>
      <c r="C55" s="687">
        <f ca="1">C25*'EF ele_warmte'!B12</f>
        <v>52.364374576765464</v>
      </c>
      <c r="D55" s="687"/>
      <c r="E55" s="687">
        <f>E25*EF_CO2_aardgas</f>
        <v>100.40022160000001</v>
      </c>
      <c r="F55" s="687"/>
      <c r="G55" s="687"/>
      <c r="H55" s="687"/>
      <c r="I55" s="687"/>
      <c r="J55" s="687"/>
      <c r="K55" s="687"/>
      <c r="L55" s="687"/>
      <c r="M55" s="687"/>
      <c r="N55" s="687"/>
      <c r="O55" s="687"/>
      <c r="P55" s="687"/>
      <c r="Q55" s="688"/>
      <c r="R55" s="716">
        <f ca="1">SUM(C55:Q55)</f>
        <v>152.76459617676548</v>
      </c>
    </row>
    <row r="56" spans="1:18" ht="15.75" thickBot="1">
      <c r="A56" s="816" t="s">
        <v>715</v>
      </c>
      <c r="B56" s="829"/>
      <c r="C56" s="717">
        <f ca="1">SUM(C54:C55)</f>
        <v>341.4542934667947</v>
      </c>
      <c r="D56" s="717">
        <f t="shared" ref="D56:Q56" ca="1" si="7">SUM(D54:D55)</f>
        <v>0</v>
      </c>
      <c r="E56" s="717">
        <f t="shared" si="7"/>
        <v>139.40260941560001</v>
      </c>
      <c r="F56" s="717">
        <f t="shared" si="7"/>
        <v>11.302499986055798</v>
      </c>
      <c r="G56" s="717">
        <f t="shared" si="7"/>
        <v>1505.3964853848522</v>
      </c>
      <c r="H56" s="717">
        <f t="shared" si="7"/>
        <v>0</v>
      </c>
      <c r="I56" s="717">
        <f t="shared" si="7"/>
        <v>0</v>
      </c>
      <c r="J56" s="717">
        <f t="shared" si="7"/>
        <v>0</v>
      </c>
      <c r="K56" s="717">
        <f t="shared" si="7"/>
        <v>155.59487040782204</v>
      </c>
      <c r="L56" s="717">
        <f t="shared" si="7"/>
        <v>0</v>
      </c>
      <c r="M56" s="717">
        <f t="shared" si="7"/>
        <v>0</v>
      </c>
      <c r="N56" s="717">
        <f t="shared" si="7"/>
        <v>0</v>
      </c>
      <c r="O56" s="717">
        <f t="shared" si="7"/>
        <v>0</v>
      </c>
      <c r="P56" s="717">
        <f t="shared" si="7"/>
        <v>0</v>
      </c>
      <c r="Q56" s="718">
        <f t="shared" si="7"/>
        <v>0</v>
      </c>
      <c r="R56" s="719">
        <f ca="1">SUM(R54:R55)</f>
        <v>2153.1507586611247</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5165.2842085091925</v>
      </c>
      <c r="D61" s="725">
        <f t="shared" ref="D61:Q61" ca="1" si="8">D46+D52+D56</f>
        <v>7.2873673673673665</v>
      </c>
      <c r="E61" s="725">
        <f t="shared" ca="1" si="8"/>
        <v>9951.5872982292749</v>
      </c>
      <c r="F61" s="725">
        <f t="shared" si="8"/>
        <v>406.86226260918829</v>
      </c>
      <c r="G61" s="725">
        <f t="shared" ca="1" si="8"/>
        <v>6468.2957329349729</v>
      </c>
      <c r="H61" s="725">
        <f t="shared" si="8"/>
        <v>32083.998166629841</v>
      </c>
      <c r="I61" s="725">
        <f t="shared" si="8"/>
        <v>5591.9554008351652</v>
      </c>
      <c r="J61" s="725">
        <f t="shared" si="8"/>
        <v>0</v>
      </c>
      <c r="K61" s="725">
        <f t="shared" si="8"/>
        <v>181.20111773361282</v>
      </c>
      <c r="L61" s="725">
        <f t="shared" si="8"/>
        <v>0</v>
      </c>
      <c r="M61" s="725">
        <f t="shared" ca="1" si="8"/>
        <v>0</v>
      </c>
      <c r="N61" s="725">
        <f t="shared" si="8"/>
        <v>0</v>
      </c>
      <c r="O61" s="725">
        <f t="shared" ca="1" si="8"/>
        <v>0</v>
      </c>
      <c r="P61" s="725">
        <f t="shared" si="8"/>
        <v>0</v>
      </c>
      <c r="Q61" s="725">
        <f t="shared" si="8"/>
        <v>0</v>
      </c>
      <c r="R61" s="725">
        <f ca="1">R46+R52+R56</f>
        <v>59856.47155484862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0.18120637365697259</v>
      </c>
      <c r="D63" s="771">
        <f t="shared" ca="1" si="9"/>
        <v>0.22444444444444445</v>
      </c>
      <c r="E63" s="969">
        <f t="shared" ca="1" si="9"/>
        <v>0.20200000000000001</v>
      </c>
      <c r="F63" s="771">
        <f t="shared" si="9"/>
        <v>0.22700000000000004</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5133.0073773273343</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22.666666666666664</v>
      </c>
      <c r="D76" s="952">
        <f>'lokale energieproductie'!C8</f>
        <v>25.18518518518518</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5.0874074074074063</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5133.0073773273343</v>
      </c>
      <c r="C78" s="743">
        <f>SUM(C72:C77)</f>
        <v>22.666666666666664</v>
      </c>
      <c r="D78" s="744">
        <f t="shared" ref="D78:H78" si="10">SUM(D76:D77)</f>
        <v>25.18518518518518</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5.0874074074074063</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32.468468468468465</v>
      </c>
      <c r="D87" s="767">
        <f>'lokale energieproductie'!C17</f>
        <v>36.07607607607607</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7.2873673673673665</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32.468468468468465</v>
      </c>
      <c r="D90" s="743">
        <f t="shared" ref="D90:H90" si="12">SUM(D87:D89)</f>
        <v>36.07607607607607</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7.2873673673673665</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16058.027039452074</v>
      </c>
      <c r="C4" s="448">
        <f>huishoudens!C8</f>
        <v>0</v>
      </c>
      <c r="D4" s="448">
        <f>huishoudens!D8</f>
        <v>36360.859911749998</v>
      </c>
      <c r="E4" s="448">
        <f>huishoudens!E8</f>
        <v>1035.4122275368704</v>
      </c>
      <c r="F4" s="448">
        <f>huishoudens!F8</f>
        <v>16692.225111870241</v>
      </c>
      <c r="G4" s="448">
        <f>huishoudens!G8</f>
        <v>0</v>
      </c>
      <c r="H4" s="448">
        <f>huishoudens!H8</f>
        <v>0</v>
      </c>
      <c r="I4" s="448">
        <f>huishoudens!I8</f>
        <v>0</v>
      </c>
      <c r="J4" s="448">
        <f>huishoudens!J8</f>
        <v>66.684703392478909</v>
      </c>
      <c r="K4" s="448">
        <f>huishoudens!K8</f>
        <v>0</v>
      </c>
      <c r="L4" s="448">
        <f>huishoudens!L8</f>
        <v>0</v>
      </c>
      <c r="M4" s="448">
        <f>huishoudens!M8</f>
        <v>0</v>
      </c>
      <c r="N4" s="448">
        <f>huishoudens!N8</f>
        <v>5240.1919991063369</v>
      </c>
      <c r="O4" s="448">
        <f>huishoudens!O8</f>
        <v>253.94665208154007</v>
      </c>
      <c r="P4" s="449">
        <f>huishoudens!P8</f>
        <v>347.62065715360575</v>
      </c>
      <c r="Q4" s="450">
        <f>SUM(B4:P4)</f>
        <v>76054.968302343143</v>
      </c>
    </row>
    <row r="5" spans="1:17">
      <c r="A5" s="447" t="s">
        <v>155</v>
      </c>
      <c r="B5" s="448">
        <f ca="1">tertiair!B16</f>
        <v>7574.9223026666668</v>
      </c>
      <c r="C5" s="448">
        <f ca="1">tertiair!C16</f>
        <v>32.468468468468465</v>
      </c>
      <c r="D5" s="448">
        <f ca="1">tertiair!D16</f>
        <v>10300.92023372274</v>
      </c>
      <c r="E5" s="448">
        <f>tertiair!E16</f>
        <v>122.75104987500703</v>
      </c>
      <c r="F5" s="448">
        <f ca="1">tertiair!F16</f>
        <v>842.27866496993863</v>
      </c>
      <c r="G5" s="448">
        <f>tertiair!G16</f>
        <v>0</v>
      </c>
      <c r="H5" s="448">
        <f>tertiair!H16</f>
        <v>0</v>
      </c>
      <c r="I5" s="448">
        <f>tertiair!I16</f>
        <v>0</v>
      </c>
      <c r="J5" s="448">
        <f>tertiair!J16</f>
        <v>1.3046386572087294E-2</v>
      </c>
      <c r="K5" s="448">
        <f>tertiair!K16</f>
        <v>0</v>
      </c>
      <c r="L5" s="448">
        <f ca="1">tertiair!L16</f>
        <v>0</v>
      </c>
      <c r="M5" s="448">
        <f>tertiair!M16</f>
        <v>0</v>
      </c>
      <c r="N5" s="448">
        <f ca="1">tertiair!N16</f>
        <v>513.9722281455297</v>
      </c>
      <c r="O5" s="448">
        <f>tertiair!O16</f>
        <v>4.8972607658411542</v>
      </c>
      <c r="P5" s="449">
        <f>tertiair!P16</f>
        <v>105.07827661299004</v>
      </c>
      <c r="Q5" s="447">
        <f t="shared" ref="Q5:Q14" ca="1" si="0">SUM(B5:P5)</f>
        <v>19497.301531613746</v>
      </c>
    </row>
    <row r="6" spans="1:17">
      <c r="A6" s="447" t="s">
        <v>193</v>
      </c>
      <c r="B6" s="448">
        <f>'openbare verlichting'!B8</f>
        <v>950.83299999999997</v>
      </c>
      <c r="C6" s="448"/>
      <c r="D6" s="448"/>
      <c r="E6" s="448"/>
      <c r="F6" s="448"/>
      <c r="G6" s="448"/>
      <c r="H6" s="448"/>
      <c r="I6" s="448"/>
      <c r="J6" s="448"/>
      <c r="K6" s="448"/>
      <c r="L6" s="448"/>
      <c r="M6" s="448"/>
      <c r="N6" s="448"/>
      <c r="O6" s="448"/>
      <c r="P6" s="449"/>
      <c r="Q6" s="447">
        <f t="shared" si="0"/>
        <v>950.83299999999997</v>
      </c>
    </row>
    <row r="7" spans="1:17">
      <c r="A7" s="447" t="s">
        <v>111</v>
      </c>
      <c r="B7" s="448">
        <f>landbouw!B8</f>
        <v>1595.362862</v>
      </c>
      <c r="C7" s="448">
        <f>landbouw!C8</f>
        <v>0</v>
      </c>
      <c r="D7" s="448">
        <f>landbouw!D8</f>
        <v>193.08112779999999</v>
      </c>
      <c r="E7" s="448">
        <f>landbouw!E8</f>
        <v>49.790748837250206</v>
      </c>
      <c r="F7" s="448">
        <f>landbouw!F8</f>
        <v>5638.1890838383979</v>
      </c>
      <c r="G7" s="448">
        <f>landbouw!G8</f>
        <v>0</v>
      </c>
      <c r="H7" s="448">
        <f>landbouw!H8</f>
        <v>0</v>
      </c>
      <c r="I7" s="448">
        <f>landbouw!I8</f>
        <v>0</v>
      </c>
      <c r="J7" s="448">
        <f>landbouw!J8</f>
        <v>439.53353222548606</v>
      </c>
      <c r="K7" s="448">
        <f>landbouw!K8</f>
        <v>0</v>
      </c>
      <c r="L7" s="448">
        <f>landbouw!L8</f>
        <v>0</v>
      </c>
      <c r="M7" s="448">
        <f>landbouw!M8</f>
        <v>0</v>
      </c>
      <c r="N7" s="448">
        <f>landbouw!N8</f>
        <v>0</v>
      </c>
      <c r="O7" s="448">
        <f>landbouw!O8</f>
        <v>0</v>
      </c>
      <c r="P7" s="449">
        <f>landbouw!P8</f>
        <v>0</v>
      </c>
      <c r="Q7" s="447">
        <f t="shared" si="0"/>
        <v>7915.9573547011341</v>
      </c>
    </row>
    <row r="8" spans="1:17">
      <c r="A8" s="447" t="s">
        <v>618</v>
      </c>
      <c r="B8" s="448">
        <f>industrie!B18</f>
        <v>1859.297133</v>
      </c>
      <c r="C8" s="448">
        <f>industrie!C18</f>
        <v>0</v>
      </c>
      <c r="D8" s="448">
        <f>industrie!D18</f>
        <v>1668.3410039999999</v>
      </c>
      <c r="E8" s="448">
        <f>industrie!E18</f>
        <v>340.95046390856817</v>
      </c>
      <c r="F8" s="448">
        <f>industrie!F18</f>
        <v>1053.13385443368</v>
      </c>
      <c r="G8" s="448">
        <f>industrie!G18</f>
        <v>0</v>
      </c>
      <c r="H8" s="448">
        <f>industrie!H18</f>
        <v>0</v>
      </c>
      <c r="I8" s="448">
        <f>industrie!I18</f>
        <v>0</v>
      </c>
      <c r="J8" s="448">
        <f>industrie!J18</f>
        <v>5.6362822147082507</v>
      </c>
      <c r="K8" s="448">
        <f>industrie!K18</f>
        <v>0</v>
      </c>
      <c r="L8" s="448">
        <f>industrie!L18</f>
        <v>0</v>
      </c>
      <c r="M8" s="448">
        <f>industrie!M18</f>
        <v>0</v>
      </c>
      <c r="N8" s="448">
        <f>industrie!N18</f>
        <v>120.08571191396598</v>
      </c>
      <c r="O8" s="448">
        <f>industrie!O18</f>
        <v>0</v>
      </c>
      <c r="P8" s="449">
        <f>industrie!P18</f>
        <v>0</v>
      </c>
      <c r="Q8" s="447">
        <f t="shared" si="0"/>
        <v>5047.4444494709223</v>
      </c>
    </row>
    <row r="9" spans="1:17" s="453" customFormat="1">
      <c r="A9" s="451" t="s">
        <v>544</v>
      </c>
      <c r="B9" s="452">
        <f>transport!B14</f>
        <v>164.75809854859597</v>
      </c>
      <c r="C9" s="452">
        <f>transport!C14</f>
        <v>0</v>
      </c>
      <c r="D9" s="452">
        <f>transport!D14</f>
        <v>245.05057732763197</v>
      </c>
      <c r="E9" s="452">
        <f>transport!E14</f>
        <v>243.44027904577669</v>
      </c>
      <c r="F9" s="452">
        <f>transport!F14</f>
        <v>0</v>
      </c>
      <c r="G9" s="452">
        <f>transport!G14</f>
        <v>119237.12163251196</v>
      </c>
      <c r="H9" s="452">
        <f>transport!H14</f>
        <v>22457.65221218942</v>
      </c>
      <c r="I9" s="452">
        <f>transport!I14</f>
        <v>0</v>
      </c>
      <c r="J9" s="452">
        <f>transport!J14</f>
        <v>0</v>
      </c>
      <c r="K9" s="452">
        <f>transport!K14</f>
        <v>0</v>
      </c>
      <c r="L9" s="452">
        <f>transport!L14</f>
        <v>0</v>
      </c>
      <c r="M9" s="452">
        <f>transport!M14</f>
        <v>8359.9621689466549</v>
      </c>
      <c r="N9" s="452">
        <f>transport!N14</f>
        <v>0</v>
      </c>
      <c r="O9" s="452">
        <f>transport!O14</f>
        <v>0</v>
      </c>
      <c r="P9" s="452">
        <f>transport!P14</f>
        <v>0</v>
      </c>
      <c r="Q9" s="451">
        <f>SUM(B9:P9)</f>
        <v>150707.98496857003</v>
      </c>
    </row>
    <row r="10" spans="1:17">
      <c r="A10" s="447" t="s">
        <v>534</v>
      </c>
      <c r="B10" s="448">
        <f>transport!B54</f>
        <v>12.803950642437458</v>
      </c>
      <c r="C10" s="448">
        <f>transport!C54</f>
        <v>0</v>
      </c>
      <c r="D10" s="448">
        <f>transport!D54</f>
        <v>0</v>
      </c>
      <c r="E10" s="448">
        <f>transport!E54</f>
        <v>0</v>
      </c>
      <c r="F10" s="448">
        <f>transport!F54</f>
        <v>0</v>
      </c>
      <c r="G10" s="448">
        <f>transport!G54</f>
        <v>927.66550842376137</v>
      </c>
      <c r="H10" s="448">
        <f>transport!H54</f>
        <v>0</v>
      </c>
      <c r="I10" s="448">
        <f>transport!I54</f>
        <v>0</v>
      </c>
      <c r="J10" s="448">
        <f>transport!J54</f>
        <v>0</v>
      </c>
      <c r="K10" s="448">
        <f>transport!K54</f>
        <v>0</v>
      </c>
      <c r="L10" s="448">
        <f>transport!L54</f>
        <v>0</v>
      </c>
      <c r="M10" s="448">
        <f>transport!M54</f>
        <v>52.471523745303571</v>
      </c>
      <c r="N10" s="448">
        <f>transport!N54</f>
        <v>0</v>
      </c>
      <c r="O10" s="448">
        <f>transport!O54</f>
        <v>0</v>
      </c>
      <c r="P10" s="449">
        <f>transport!P54</f>
        <v>0</v>
      </c>
      <c r="Q10" s="447">
        <f t="shared" si="0"/>
        <v>992.94098281150241</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288.97645</v>
      </c>
      <c r="C14" s="455"/>
      <c r="D14" s="455">
        <f>'SEAP template'!E25</f>
        <v>497.0308</v>
      </c>
      <c r="E14" s="455"/>
      <c r="F14" s="455"/>
      <c r="G14" s="455"/>
      <c r="H14" s="455"/>
      <c r="I14" s="455"/>
      <c r="J14" s="455"/>
      <c r="K14" s="455"/>
      <c r="L14" s="455"/>
      <c r="M14" s="455"/>
      <c r="N14" s="455"/>
      <c r="O14" s="455"/>
      <c r="P14" s="456"/>
      <c r="Q14" s="447">
        <f t="shared" si="0"/>
        <v>786.00725</v>
      </c>
    </row>
    <row r="15" spans="1:17" s="459" customFormat="1">
      <c r="A15" s="457" t="s">
        <v>538</v>
      </c>
      <c r="B15" s="458">
        <f ca="1">SUM(B4:B14)</f>
        <v>28504.980836309765</v>
      </c>
      <c r="C15" s="458">
        <f t="shared" ref="C15:Q15" ca="1" si="1">SUM(C4:C14)</f>
        <v>32.468468468468465</v>
      </c>
      <c r="D15" s="458">
        <f t="shared" ca="1" si="1"/>
        <v>49265.283654600367</v>
      </c>
      <c r="E15" s="458">
        <f t="shared" si="1"/>
        <v>1792.3447692034724</v>
      </c>
      <c r="F15" s="458">
        <f t="shared" ca="1" si="1"/>
        <v>24225.826715112256</v>
      </c>
      <c r="G15" s="458">
        <f t="shared" si="1"/>
        <v>120164.78714093572</v>
      </c>
      <c r="H15" s="458">
        <f t="shared" si="1"/>
        <v>22457.65221218942</v>
      </c>
      <c r="I15" s="458">
        <f t="shared" si="1"/>
        <v>0</v>
      </c>
      <c r="J15" s="458">
        <f t="shared" si="1"/>
        <v>511.86756421924531</v>
      </c>
      <c r="K15" s="458">
        <f t="shared" si="1"/>
        <v>0</v>
      </c>
      <c r="L15" s="458">
        <f t="shared" ca="1" si="1"/>
        <v>0</v>
      </c>
      <c r="M15" s="458">
        <f t="shared" si="1"/>
        <v>8412.4336926919586</v>
      </c>
      <c r="N15" s="458">
        <f t="shared" ca="1" si="1"/>
        <v>5874.249939165833</v>
      </c>
      <c r="O15" s="458">
        <f t="shared" si="1"/>
        <v>258.8439128473812</v>
      </c>
      <c r="P15" s="458">
        <f t="shared" si="1"/>
        <v>452.69893376659581</v>
      </c>
      <c r="Q15" s="458">
        <f t="shared" ca="1" si="1"/>
        <v>261953.43783951047</v>
      </c>
    </row>
    <row r="17" spans="1:17">
      <c r="A17" s="460" t="s">
        <v>539</v>
      </c>
      <c r="B17" s="776">
        <f ca="1">huishoudens!B10</f>
        <v>0.18120637365697262</v>
      </c>
      <c r="C17" s="776">
        <f ca="1">huishoudens!C10</f>
        <v>0.22444444444444445</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2909.8168479047222</v>
      </c>
      <c r="C22" s="448">
        <f t="shared" ref="C22:C32" ca="1" si="3">C4*$C$17</f>
        <v>0</v>
      </c>
      <c r="D22" s="448">
        <f t="shared" ref="D22:D32" si="4">D4*$D$17</f>
        <v>7344.8937021735001</v>
      </c>
      <c r="E22" s="448">
        <f t="shared" ref="E22:E32" si="5">E4*$E$17</f>
        <v>235.0385756508696</v>
      </c>
      <c r="F22" s="448">
        <f t="shared" ref="F22:F32" si="6">F4*$F$17</f>
        <v>4456.8241048693544</v>
      </c>
      <c r="G22" s="448">
        <f t="shared" ref="G22:G32" si="7">G4*$G$17</f>
        <v>0</v>
      </c>
      <c r="H22" s="448">
        <f t="shared" ref="H22:H32" si="8">H4*$H$17</f>
        <v>0</v>
      </c>
      <c r="I22" s="448">
        <f t="shared" ref="I22:I32" si="9">I4*$I$17</f>
        <v>0</v>
      </c>
      <c r="J22" s="448">
        <f t="shared" ref="J22:J32" si="10">J4*$J$17</f>
        <v>23.606385000937532</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14970.179615599383</v>
      </c>
    </row>
    <row r="23" spans="1:17">
      <c r="A23" s="447" t="s">
        <v>155</v>
      </c>
      <c r="B23" s="448">
        <f t="shared" ca="1" si="2"/>
        <v>1372.6242011995514</v>
      </c>
      <c r="C23" s="448">
        <f t="shared" ca="1" si="3"/>
        <v>7.2873673673673665</v>
      </c>
      <c r="D23" s="448">
        <f t="shared" ca="1" si="4"/>
        <v>2080.7858872119937</v>
      </c>
      <c r="E23" s="448">
        <f t="shared" si="5"/>
        <v>27.864488321626595</v>
      </c>
      <c r="F23" s="448">
        <f t="shared" ca="1" si="6"/>
        <v>224.88840354697362</v>
      </c>
      <c r="G23" s="448">
        <f t="shared" si="7"/>
        <v>0</v>
      </c>
      <c r="H23" s="448">
        <f t="shared" si="8"/>
        <v>0</v>
      </c>
      <c r="I23" s="448">
        <f t="shared" si="9"/>
        <v>0</v>
      </c>
      <c r="J23" s="448">
        <f t="shared" si="10"/>
        <v>4.6184208465189017E-3</v>
      </c>
      <c r="K23" s="448">
        <f t="shared" si="11"/>
        <v>0</v>
      </c>
      <c r="L23" s="448">
        <f t="shared" ca="1" si="12"/>
        <v>0</v>
      </c>
      <c r="M23" s="448">
        <f t="shared" si="13"/>
        <v>0</v>
      </c>
      <c r="N23" s="448">
        <f t="shared" ca="1" si="14"/>
        <v>0</v>
      </c>
      <c r="O23" s="448">
        <f t="shared" si="15"/>
        <v>0</v>
      </c>
      <c r="P23" s="449">
        <f t="shared" si="16"/>
        <v>0</v>
      </c>
      <c r="Q23" s="447">
        <f t="shared" ref="Q23:Q31" ca="1" si="17">SUM(B23:P23)</f>
        <v>3713.4549660683592</v>
      </c>
    </row>
    <row r="24" spans="1:17">
      <c r="A24" s="447" t="s">
        <v>193</v>
      </c>
      <c r="B24" s="448">
        <f t="shared" ca="1" si="2"/>
        <v>172.29699988338024</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172.29699988338024</v>
      </c>
    </row>
    <row r="25" spans="1:17">
      <c r="A25" s="447" t="s">
        <v>111</v>
      </c>
      <c r="B25" s="448">
        <f t="shared" ca="1" si="2"/>
        <v>289.08991889002925</v>
      </c>
      <c r="C25" s="448">
        <f t="shared" ca="1" si="3"/>
        <v>0</v>
      </c>
      <c r="D25" s="448">
        <f t="shared" si="4"/>
        <v>39.002387815600002</v>
      </c>
      <c r="E25" s="448">
        <f t="shared" si="5"/>
        <v>11.302499986055798</v>
      </c>
      <c r="F25" s="448">
        <f t="shared" si="6"/>
        <v>1505.3964853848522</v>
      </c>
      <c r="G25" s="448">
        <f t="shared" si="7"/>
        <v>0</v>
      </c>
      <c r="H25" s="448">
        <f t="shared" si="8"/>
        <v>0</v>
      </c>
      <c r="I25" s="448">
        <f t="shared" si="9"/>
        <v>0</v>
      </c>
      <c r="J25" s="448">
        <f t="shared" si="10"/>
        <v>155.59487040782204</v>
      </c>
      <c r="K25" s="448">
        <f t="shared" si="11"/>
        <v>0</v>
      </c>
      <c r="L25" s="448">
        <f t="shared" si="12"/>
        <v>0</v>
      </c>
      <c r="M25" s="448">
        <f t="shared" si="13"/>
        <v>0</v>
      </c>
      <c r="N25" s="448">
        <f t="shared" si="14"/>
        <v>0</v>
      </c>
      <c r="O25" s="448">
        <f t="shared" si="15"/>
        <v>0</v>
      </c>
      <c r="P25" s="449">
        <f t="shared" si="16"/>
        <v>0</v>
      </c>
      <c r="Q25" s="447">
        <f t="shared" ca="1" si="17"/>
        <v>2000.3861624843594</v>
      </c>
    </row>
    <row r="26" spans="1:17">
      <c r="A26" s="447" t="s">
        <v>618</v>
      </c>
      <c r="B26" s="448">
        <f t="shared" ca="1" si="2"/>
        <v>336.91649102173591</v>
      </c>
      <c r="C26" s="448">
        <f t="shared" ca="1" si="3"/>
        <v>0</v>
      </c>
      <c r="D26" s="448">
        <f t="shared" si="4"/>
        <v>337.00488280799999</v>
      </c>
      <c r="E26" s="448">
        <f t="shared" si="5"/>
        <v>77.395755307244983</v>
      </c>
      <c r="F26" s="448">
        <f t="shared" si="6"/>
        <v>281.18673913379257</v>
      </c>
      <c r="G26" s="448">
        <f t="shared" si="7"/>
        <v>0</v>
      </c>
      <c r="H26" s="448">
        <f t="shared" si="8"/>
        <v>0</v>
      </c>
      <c r="I26" s="448">
        <f t="shared" si="9"/>
        <v>0</v>
      </c>
      <c r="J26" s="448">
        <f t="shared" si="10"/>
        <v>1.9952439040067207</v>
      </c>
      <c r="K26" s="448">
        <f t="shared" si="11"/>
        <v>0</v>
      </c>
      <c r="L26" s="448">
        <f t="shared" si="12"/>
        <v>0</v>
      </c>
      <c r="M26" s="448">
        <f t="shared" si="13"/>
        <v>0</v>
      </c>
      <c r="N26" s="448">
        <f t="shared" si="14"/>
        <v>0</v>
      </c>
      <c r="O26" s="448">
        <f t="shared" si="15"/>
        <v>0</v>
      </c>
      <c r="P26" s="449">
        <f t="shared" si="16"/>
        <v>0</v>
      </c>
      <c r="Q26" s="447">
        <f t="shared" ca="1" si="17"/>
        <v>1034.4991121747801</v>
      </c>
    </row>
    <row r="27" spans="1:17" s="453" customFormat="1">
      <c r="A27" s="451" t="s">
        <v>544</v>
      </c>
      <c r="B27" s="770">
        <f t="shared" ca="1" si="2"/>
        <v>29.855217568609199</v>
      </c>
      <c r="C27" s="452">
        <f t="shared" ca="1" si="3"/>
        <v>0</v>
      </c>
      <c r="D27" s="452">
        <f t="shared" si="4"/>
        <v>49.500216620181661</v>
      </c>
      <c r="E27" s="452">
        <f t="shared" si="5"/>
        <v>55.260943343391311</v>
      </c>
      <c r="F27" s="452">
        <f t="shared" si="6"/>
        <v>0</v>
      </c>
      <c r="G27" s="452">
        <f t="shared" si="7"/>
        <v>31836.311475880695</v>
      </c>
      <c r="H27" s="452">
        <f t="shared" si="8"/>
        <v>5591.9554008351652</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37562.883254248045</v>
      </c>
    </row>
    <row r="28" spans="1:17" ht="16.5" customHeight="1">
      <c r="A28" s="447" t="s">
        <v>534</v>
      </c>
      <c r="B28" s="448">
        <f t="shared" ca="1" si="2"/>
        <v>2.3201574643989566</v>
      </c>
      <c r="C28" s="448">
        <f t="shared" ca="1" si="3"/>
        <v>0</v>
      </c>
      <c r="D28" s="448">
        <f t="shared" si="4"/>
        <v>0</v>
      </c>
      <c r="E28" s="448">
        <f t="shared" si="5"/>
        <v>0</v>
      </c>
      <c r="F28" s="448">
        <f t="shared" si="6"/>
        <v>0</v>
      </c>
      <c r="G28" s="448">
        <f t="shared" si="7"/>
        <v>247.6866907491443</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250.00684821354326</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52.364374576765464</v>
      </c>
      <c r="C32" s="448">
        <f t="shared" ca="1" si="3"/>
        <v>0</v>
      </c>
      <c r="D32" s="448">
        <f t="shared" si="4"/>
        <v>100.40022160000001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152.76459617676548</v>
      </c>
    </row>
    <row r="33" spans="1:17" s="459" customFormat="1">
      <c r="A33" s="457" t="s">
        <v>538</v>
      </c>
      <c r="B33" s="458">
        <f ca="1">SUM(B22:B32)</f>
        <v>5165.2842085091934</v>
      </c>
      <c r="C33" s="458">
        <f t="shared" ref="C33:Q33" ca="1" si="19">SUM(C22:C32)</f>
        <v>7.2873673673673665</v>
      </c>
      <c r="D33" s="458">
        <f t="shared" ca="1" si="19"/>
        <v>9951.5872982292767</v>
      </c>
      <c r="E33" s="458">
        <f t="shared" si="19"/>
        <v>406.86226260918829</v>
      </c>
      <c r="F33" s="458">
        <f t="shared" ca="1" si="19"/>
        <v>6468.2957329349729</v>
      </c>
      <c r="G33" s="458">
        <f t="shared" si="19"/>
        <v>32083.998166629841</v>
      </c>
      <c r="H33" s="458">
        <f t="shared" si="19"/>
        <v>5591.9554008351652</v>
      </c>
      <c r="I33" s="458">
        <f t="shared" si="19"/>
        <v>0</v>
      </c>
      <c r="J33" s="458">
        <f t="shared" si="19"/>
        <v>181.20111773361282</v>
      </c>
      <c r="K33" s="458">
        <f t="shared" si="19"/>
        <v>0</v>
      </c>
      <c r="L33" s="458">
        <f t="shared" ca="1" si="19"/>
        <v>0</v>
      </c>
      <c r="M33" s="458">
        <f t="shared" si="19"/>
        <v>0</v>
      </c>
      <c r="N33" s="458">
        <f t="shared" ca="1" si="19"/>
        <v>0</v>
      </c>
      <c r="O33" s="458">
        <f t="shared" si="19"/>
        <v>0</v>
      </c>
      <c r="P33" s="458">
        <f t="shared" si="19"/>
        <v>0</v>
      </c>
      <c r="Q33" s="458">
        <f t="shared" ca="1" si="19"/>
        <v>59856.471554848613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5133.0073773273343</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22.666666666666664</v>
      </c>
      <c r="D8" s="1021">
        <f>'SEAP template'!D76</f>
        <v>25.18518518518518</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5.0874074074074063</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5133.0073773273343</v>
      </c>
      <c r="C10" s="1023">
        <f>SUM(C4:C9)</f>
        <v>22.666666666666664</v>
      </c>
      <c r="D10" s="1023">
        <f t="shared" ref="D10:H10" si="0">SUM(D8:D9)</f>
        <v>25.18518518518518</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5.0874074074074063</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0.18120637365697262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32.468468468468465</v>
      </c>
      <c r="D17" s="1022">
        <f>'SEAP template'!D87</f>
        <v>36.07607607607607</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7.2873673673673665</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32.468468468468465</v>
      </c>
      <c r="D20" s="1023">
        <f t="shared" ref="D20:H20" si="2">SUM(D17:D19)</f>
        <v>36.07607607607607</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7.2873673673673665</v>
      </c>
    </row>
    <row r="21" spans="1:16">
      <c r="B21" s="881"/>
    </row>
    <row r="22" spans="1:16">
      <c r="A22" s="460" t="s">
        <v>786</v>
      </c>
      <c r="B22" s="776" t="s">
        <v>784</v>
      </c>
      <c r="C22" s="776">
        <f ca="1">'EF ele_warmte'!B22</f>
        <v>0.22444444444444445</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0.18120637365697262</v>
      </c>
      <c r="C17" s="496">
        <f ca="1">'EF ele_warmte'!B22</f>
        <v>0.22444444444444445</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0.18120637365697262</v>
      </c>
      <c r="C17" s="496">
        <f ca="1">'EF ele_warmte'!B22</f>
        <v>0.22444444444444445</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0.18120637365697262</v>
      </c>
      <c r="C29" s="497">
        <f ca="1">'EF ele_warmte'!B22</f>
        <v>0.22444444444444445</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3920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2487.5100000000002</v>
      </c>
      <c r="C14" s="326"/>
      <c r="D14" s="326"/>
      <c r="E14" s="326"/>
      <c r="F14" s="326"/>
    </row>
    <row r="15" spans="1:6">
      <c r="A15" s="1298" t="s">
        <v>183</v>
      </c>
      <c r="B15" s="1299">
        <v>26</v>
      </c>
      <c r="C15" s="326"/>
      <c r="D15" s="326"/>
      <c r="E15" s="326"/>
      <c r="F15" s="326"/>
    </row>
    <row r="16" spans="1:6">
      <c r="A16" s="1298" t="s">
        <v>6</v>
      </c>
      <c r="B16" s="1299">
        <v>888</v>
      </c>
      <c r="C16" s="326"/>
      <c r="D16" s="326"/>
      <c r="E16" s="326"/>
      <c r="F16" s="326"/>
    </row>
    <row r="17" spans="1:6">
      <c r="A17" s="1298" t="s">
        <v>7</v>
      </c>
      <c r="B17" s="1299">
        <v>653</v>
      </c>
      <c r="C17" s="326"/>
      <c r="D17" s="326"/>
      <c r="E17" s="326"/>
      <c r="F17" s="326"/>
    </row>
    <row r="18" spans="1:6">
      <c r="A18" s="1298" t="s">
        <v>8</v>
      </c>
      <c r="B18" s="1299">
        <v>947</v>
      </c>
      <c r="C18" s="326"/>
      <c r="D18" s="326"/>
      <c r="E18" s="326"/>
      <c r="F18" s="326"/>
    </row>
    <row r="19" spans="1:6">
      <c r="A19" s="1298" t="s">
        <v>9</v>
      </c>
      <c r="B19" s="1299">
        <v>850</v>
      </c>
      <c r="C19" s="326"/>
      <c r="D19" s="326"/>
      <c r="E19" s="326"/>
      <c r="F19" s="326"/>
    </row>
    <row r="20" spans="1:6">
      <c r="A20" s="1298" t="s">
        <v>10</v>
      </c>
      <c r="B20" s="1299">
        <v>547</v>
      </c>
      <c r="C20" s="326"/>
      <c r="D20" s="326"/>
      <c r="E20" s="326"/>
      <c r="F20" s="326"/>
    </row>
    <row r="21" spans="1:6">
      <c r="A21" s="1298" t="s">
        <v>11</v>
      </c>
      <c r="B21" s="1299">
        <v>3705</v>
      </c>
      <c r="C21" s="326"/>
      <c r="D21" s="326"/>
      <c r="E21" s="326"/>
      <c r="F21" s="326"/>
    </row>
    <row r="22" spans="1:6">
      <c r="A22" s="1298" t="s">
        <v>12</v>
      </c>
      <c r="B22" s="1299">
        <v>11655</v>
      </c>
      <c r="C22" s="326"/>
      <c r="D22" s="326"/>
      <c r="E22" s="326"/>
      <c r="F22" s="326"/>
    </row>
    <row r="23" spans="1:6">
      <c r="A23" s="1298" t="s">
        <v>13</v>
      </c>
      <c r="B23" s="1299">
        <v>59</v>
      </c>
      <c r="C23" s="326"/>
      <c r="D23" s="326"/>
      <c r="E23" s="326"/>
      <c r="F23" s="326"/>
    </row>
    <row r="24" spans="1:6">
      <c r="A24" s="1298" t="s">
        <v>14</v>
      </c>
      <c r="B24" s="1299">
        <v>23</v>
      </c>
      <c r="C24" s="326"/>
      <c r="D24" s="326"/>
      <c r="E24" s="326"/>
      <c r="F24" s="326"/>
    </row>
    <row r="25" spans="1:6">
      <c r="A25" s="1298" t="s">
        <v>15</v>
      </c>
      <c r="B25" s="1299">
        <v>937</v>
      </c>
      <c r="C25" s="326"/>
      <c r="D25" s="326"/>
      <c r="E25" s="326"/>
      <c r="F25" s="326"/>
    </row>
    <row r="26" spans="1:6">
      <c r="A26" s="1298" t="s">
        <v>16</v>
      </c>
      <c r="B26" s="1299">
        <v>430</v>
      </c>
      <c r="C26" s="326"/>
      <c r="D26" s="326"/>
      <c r="E26" s="326"/>
      <c r="F26" s="326"/>
    </row>
    <row r="27" spans="1:6">
      <c r="A27" s="1298" t="s">
        <v>17</v>
      </c>
      <c r="B27" s="1299">
        <v>1498</v>
      </c>
      <c r="C27" s="326"/>
      <c r="D27" s="326"/>
      <c r="E27" s="326"/>
      <c r="F27" s="326"/>
    </row>
    <row r="28" spans="1:6" s="43" customFormat="1">
      <c r="A28" s="1300" t="s">
        <v>18</v>
      </c>
      <c r="B28" s="1301">
        <v>69109</v>
      </c>
      <c r="C28" s="332"/>
      <c r="D28" s="332"/>
      <c r="E28" s="332"/>
      <c r="F28" s="332"/>
    </row>
    <row r="29" spans="1:6">
      <c r="A29" s="1300" t="s">
        <v>695</v>
      </c>
      <c r="B29" s="1301">
        <v>61</v>
      </c>
      <c r="C29" s="332"/>
      <c r="D29" s="332"/>
      <c r="E29" s="332"/>
      <c r="F29" s="332"/>
    </row>
    <row r="30" spans="1:6">
      <c r="A30" s="1293" t="s">
        <v>696</v>
      </c>
      <c r="B30" s="1302">
        <v>11</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7</v>
      </c>
      <c r="F36" s="1299">
        <v>8169</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1227</v>
      </c>
    </row>
    <row r="39" spans="1:6">
      <c r="A39" s="1298" t="s">
        <v>29</v>
      </c>
      <c r="B39" s="1298" t="s">
        <v>30</v>
      </c>
      <c r="C39" s="1299">
        <v>2828</v>
      </c>
      <c r="D39" s="1299">
        <v>40311374.625</v>
      </c>
      <c r="E39" s="1299">
        <v>3782</v>
      </c>
      <c r="F39" s="1299">
        <v>13750073.949999999</v>
      </c>
    </row>
    <row r="40" spans="1:6">
      <c r="A40" s="1298" t="s">
        <v>29</v>
      </c>
      <c r="B40" s="1298" t="s">
        <v>28</v>
      </c>
      <c r="C40" s="1299">
        <v>0</v>
      </c>
      <c r="D40" s="1299">
        <v>0</v>
      </c>
      <c r="E40" s="1299">
        <v>0</v>
      </c>
      <c r="F40" s="1299">
        <v>0</v>
      </c>
    </row>
    <row r="41" spans="1:6">
      <c r="A41" s="1298" t="s">
        <v>31</v>
      </c>
      <c r="B41" s="1298" t="s">
        <v>32</v>
      </c>
      <c r="C41" s="1299">
        <v>57</v>
      </c>
      <c r="D41" s="1299">
        <v>1050179</v>
      </c>
      <c r="E41" s="1299">
        <v>169</v>
      </c>
      <c r="F41" s="1299">
        <v>1222443.6499999999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5</v>
      </c>
      <c r="D44" s="1299">
        <v>89849</v>
      </c>
      <c r="E44" s="1299">
        <v>11</v>
      </c>
      <c r="F44" s="1299">
        <v>100573</v>
      </c>
    </row>
    <row r="45" spans="1:6">
      <c r="A45" s="1298" t="s">
        <v>31</v>
      </c>
      <c r="B45" s="1298" t="s">
        <v>36</v>
      </c>
      <c r="C45" s="1299">
        <v>4</v>
      </c>
      <c r="D45" s="1299">
        <v>92516</v>
      </c>
      <c r="E45" s="1299">
        <v>4</v>
      </c>
      <c r="F45" s="1299">
        <v>9995</v>
      </c>
    </row>
    <row r="46" spans="1:6">
      <c r="A46" s="1298" t="s">
        <v>31</v>
      </c>
      <c r="B46" s="1298" t="s">
        <v>37</v>
      </c>
      <c r="C46" s="1299">
        <v>0</v>
      </c>
      <c r="D46" s="1299">
        <v>0</v>
      </c>
      <c r="E46" s="1299">
        <v>0</v>
      </c>
      <c r="F46" s="1299">
        <v>0</v>
      </c>
    </row>
    <row r="47" spans="1:6">
      <c r="A47" s="1298" t="s">
        <v>31</v>
      </c>
      <c r="B47" s="1298" t="s">
        <v>38</v>
      </c>
      <c r="C47" s="1299">
        <v>0</v>
      </c>
      <c r="D47" s="1299">
        <v>0</v>
      </c>
      <c r="E47" s="1299">
        <v>6</v>
      </c>
      <c r="F47" s="1299">
        <v>50378</v>
      </c>
    </row>
    <row r="48" spans="1:6">
      <c r="A48" s="1298" t="s">
        <v>31</v>
      </c>
      <c r="B48" s="1298" t="s">
        <v>28</v>
      </c>
      <c r="C48" s="1299">
        <v>2</v>
      </c>
      <c r="D48" s="1299">
        <v>68889</v>
      </c>
      <c r="E48" s="1299">
        <v>1</v>
      </c>
      <c r="F48" s="1299">
        <v>2476</v>
      </c>
    </row>
    <row r="49" spans="1:6">
      <c r="A49" s="1298" t="s">
        <v>31</v>
      </c>
      <c r="B49" s="1298" t="s">
        <v>39</v>
      </c>
      <c r="C49" s="1299">
        <v>0</v>
      </c>
      <c r="D49" s="1299">
        <v>0</v>
      </c>
      <c r="E49" s="1299">
        <v>0</v>
      </c>
      <c r="F49" s="1299">
        <v>0</v>
      </c>
    </row>
    <row r="50" spans="1:6">
      <c r="A50" s="1298" t="s">
        <v>31</v>
      </c>
      <c r="B50" s="1298" t="s">
        <v>40</v>
      </c>
      <c r="C50" s="1299">
        <v>7</v>
      </c>
      <c r="D50" s="1299">
        <v>548169</v>
      </c>
      <c r="E50" s="1299">
        <v>10</v>
      </c>
      <c r="F50" s="1299">
        <v>473431.48300000001</v>
      </c>
    </row>
    <row r="51" spans="1:6">
      <c r="A51" s="1298" t="s">
        <v>41</v>
      </c>
      <c r="B51" s="1298" t="s">
        <v>42</v>
      </c>
      <c r="C51" s="1299">
        <v>12</v>
      </c>
      <c r="D51" s="1299">
        <v>214058.9</v>
      </c>
      <c r="E51" s="1299">
        <v>91</v>
      </c>
      <c r="F51" s="1299">
        <v>1595362.862</v>
      </c>
    </row>
    <row r="52" spans="1:6">
      <c r="A52" s="1298" t="s">
        <v>41</v>
      </c>
      <c r="B52" s="1298" t="s">
        <v>28</v>
      </c>
      <c r="C52" s="1299">
        <v>0</v>
      </c>
      <c r="D52" s="1299">
        <v>0</v>
      </c>
      <c r="E52" s="1299">
        <v>0</v>
      </c>
      <c r="F52" s="1299">
        <v>0</v>
      </c>
    </row>
    <row r="53" spans="1:6">
      <c r="A53" s="1298" t="s">
        <v>43</v>
      </c>
      <c r="B53" s="1298" t="s">
        <v>44</v>
      </c>
      <c r="C53" s="1299">
        <v>40</v>
      </c>
      <c r="D53" s="1299">
        <v>497030.8</v>
      </c>
      <c r="E53" s="1299">
        <v>92</v>
      </c>
      <c r="F53" s="1299">
        <v>288976.45</v>
      </c>
    </row>
    <row r="54" spans="1:6">
      <c r="A54" s="1298" t="s">
        <v>45</v>
      </c>
      <c r="B54" s="1298" t="s">
        <v>46</v>
      </c>
      <c r="C54" s="1299">
        <v>0</v>
      </c>
      <c r="D54" s="1299">
        <v>0</v>
      </c>
      <c r="E54" s="1299">
        <v>1</v>
      </c>
      <c r="F54" s="1299">
        <v>950833</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42</v>
      </c>
      <c r="D57" s="1299">
        <v>1906202.442</v>
      </c>
      <c r="E57" s="1299">
        <v>71</v>
      </c>
      <c r="F57" s="1299">
        <v>768517</v>
      </c>
    </row>
    <row r="58" spans="1:6">
      <c r="A58" s="1298" t="s">
        <v>48</v>
      </c>
      <c r="B58" s="1298" t="s">
        <v>50</v>
      </c>
      <c r="C58" s="1299">
        <v>18</v>
      </c>
      <c r="D58" s="1299">
        <v>432514</v>
      </c>
      <c r="E58" s="1299">
        <v>33</v>
      </c>
      <c r="F58" s="1299">
        <v>328435</v>
      </c>
    </row>
    <row r="59" spans="1:6">
      <c r="A59" s="1298" t="s">
        <v>48</v>
      </c>
      <c r="B59" s="1298" t="s">
        <v>51</v>
      </c>
      <c r="C59" s="1299">
        <v>71</v>
      </c>
      <c r="D59" s="1299">
        <v>3578600.9</v>
      </c>
      <c r="E59" s="1299">
        <v>119</v>
      </c>
      <c r="F59" s="1299">
        <v>3408991.9</v>
      </c>
    </row>
    <row r="60" spans="1:6">
      <c r="A60" s="1298" t="s">
        <v>48</v>
      </c>
      <c r="B60" s="1298" t="s">
        <v>52</v>
      </c>
      <c r="C60" s="1299">
        <v>39</v>
      </c>
      <c r="D60" s="1299">
        <v>1382087</v>
      </c>
      <c r="E60" s="1299">
        <v>46</v>
      </c>
      <c r="F60" s="1299">
        <v>735674.62899999996</v>
      </c>
    </row>
    <row r="61" spans="1:6">
      <c r="A61" s="1298" t="s">
        <v>48</v>
      </c>
      <c r="B61" s="1298" t="s">
        <v>53</v>
      </c>
      <c r="C61" s="1299">
        <v>135</v>
      </c>
      <c r="D61" s="1299">
        <v>3097428.75</v>
      </c>
      <c r="E61" s="1299">
        <v>193</v>
      </c>
      <c r="F61" s="1299">
        <v>2140445.1069999998</v>
      </c>
    </row>
    <row r="62" spans="1:6">
      <c r="A62" s="1298" t="s">
        <v>48</v>
      </c>
      <c r="B62" s="1298" t="s">
        <v>54</v>
      </c>
      <c r="C62" s="1299">
        <v>14</v>
      </c>
      <c r="D62" s="1299">
        <v>1091173</v>
      </c>
      <c r="E62" s="1299">
        <v>8</v>
      </c>
      <c r="F62" s="1299">
        <v>170192</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1</v>
      </c>
      <c r="D65" s="1299">
        <v>27559</v>
      </c>
      <c r="E65" s="1299">
        <v>0</v>
      </c>
      <c r="F65" s="1299">
        <v>0</v>
      </c>
    </row>
    <row r="66" spans="1:6">
      <c r="A66" s="1298" t="s">
        <v>55</v>
      </c>
      <c r="B66" s="1298" t="s">
        <v>57</v>
      </c>
      <c r="C66" s="1299">
        <v>0</v>
      </c>
      <c r="D66" s="1299">
        <v>0</v>
      </c>
      <c r="E66" s="1299">
        <v>10</v>
      </c>
      <c r="F66" s="1299">
        <v>265542.10700000002</v>
      </c>
    </row>
    <row r="67" spans="1:6">
      <c r="A67" s="1300" t="s">
        <v>55</v>
      </c>
      <c r="B67" s="1300" t="s">
        <v>58</v>
      </c>
      <c r="C67" s="1299">
        <v>0</v>
      </c>
      <c r="D67" s="1299">
        <v>0</v>
      </c>
      <c r="E67" s="1299">
        <v>0</v>
      </c>
      <c r="F67" s="1299">
        <v>0</v>
      </c>
    </row>
    <row r="68" spans="1:6">
      <c r="A68" s="1293" t="s">
        <v>55</v>
      </c>
      <c r="B68" s="1293" t="s">
        <v>59</v>
      </c>
      <c r="C68" s="1302">
        <v>0</v>
      </c>
      <c r="D68" s="1302">
        <v>0</v>
      </c>
      <c r="E68" s="1302">
        <v>5</v>
      </c>
      <c r="F68" s="1302">
        <v>33183</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40338257</v>
      </c>
      <c r="E73" s="446"/>
      <c r="F73" s="326"/>
    </row>
    <row r="74" spans="1:6">
      <c r="A74" s="1298" t="s">
        <v>63</v>
      </c>
      <c r="B74" s="1298" t="s">
        <v>639</v>
      </c>
      <c r="C74" s="1312" t="s">
        <v>641</v>
      </c>
      <c r="D74" s="1313">
        <v>2886931</v>
      </c>
      <c r="E74" s="446"/>
      <c r="F74" s="326"/>
    </row>
    <row r="75" spans="1:6">
      <c r="A75" s="1298" t="s">
        <v>64</v>
      </c>
      <c r="B75" s="1298" t="s">
        <v>638</v>
      </c>
      <c r="C75" s="1312" t="s">
        <v>642</v>
      </c>
      <c r="D75" s="1313">
        <v>10479121</v>
      </c>
      <c r="E75" s="446"/>
      <c r="F75" s="326"/>
    </row>
    <row r="76" spans="1:6">
      <c r="A76" s="1298" t="s">
        <v>64</v>
      </c>
      <c r="B76" s="1298" t="s">
        <v>639</v>
      </c>
      <c r="C76" s="1312" t="s">
        <v>643</v>
      </c>
      <c r="D76" s="1313">
        <v>476964</v>
      </c>
      <c r="E76" s="446"/>
      <c r="F76" s="326"/>
    </row>
    <row r="77" spans="1:6">
      <c r="A77" s="1298" t="s">
        <v>65</v>
      </c>
      <c r="B77" s="1298" t="s">
        <v>638</v>
      </c>
      <c r="C77" s="1312" t="s">
        <v>644</v>
      </c>
      <c r="D77" s="1313">
        <v>102485163</v>
      </c>
      <c r="E77" s="446"/>
      <c r="F77" s="326"/>
    </row>
    <row r="78" spans="1:6">
      <c r="A78" s="1293" t="s">
        <v>65</v>
      </c>
      <c r="B78" s="1293" t="s">
        <v>639</v>
      </c>
      <c r="C78" s="1293" t="s">
        <v>645</v>
      </c>
      <c r="D78" s="1314">
        <v>15652834</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272086</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2307.9530894520735</v>
      </c>
      <c r="C91" s="326"/>
      <c r="D91" s="326"/>
      <c r="E91" s="326"/>
      <c r="F91" s="326"/>
    </row>
    <row r="92" spans="1:6">
      <c r="A92" s="1293" t="s">
        <v>68</v>
      </c>
      <c r="B92" s="1294">
        <v>2825.0542878752603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1911</v>
      </c>
      <c r="C97" s="326"/>
      <c r="D97" s="326"/>
      <c r="E97" s="326"/>
      <c r="F97" s="326"/>
    </row>
    <row r="98" spans="1:6">
      <c r="A98" s="1298" t="s">
        <v>71</v>
      </c>
      <c r="B98" s="1299">
        <v>1</v>
      </c>
      <c r="C98" s="326"/>
      <c r="D98" s="326"/>
      <c r="E98" s="326"/>
      <c r="F98" s="326"/>
    </row>
    <row r="99" spans="1:6">
      <c r="A99" s="1298" t="s">
        <v>72</v>
      </c>
      <c r="B99" s="1299">
        <v>56</v>
      </c>
      <c r="C99" s="326"/>
      <c r="D99" s="326"/>
      <c r="E99" s="326"/>
      <c r="F99" s="326"/>
    </row>
    <row r="100" spans="1:6">
      <c r="A100" s="1298" t="s">
        <v>73</v>
      </c>
      <c r="B100" s="1299">
        <v>349</v>
      </c>
      <c r="C100" s="326"/>
      <c r="D100" s="326"/>
      <c r="E100" s="326"/>
      <c r="F100" s="326"/>
    </row>
    <row r="101" spans="1:6">
      <c r="A101" s="1298" t="s">
        <v>74</v>
      </c>
      <c r="B101" s="1299">
        <v>78</v>
      </c>
      <c r="C101" s="326"/>
      <c r="D101" s="326"/>
      <c r="E101" s="326"/>
      <c r="F101" s="326"/>
    </row>
    <row r="102" spans="1:6">
      <c r="A102" s="1298" t="s">
        <v>75</v>
      </c>
      <c r="B102" s="1299">
        <v>71</v>
      </c>
      <c r="C102" s="326"/>
      <c r="D102" s="326"/>
      <c r="E102" s="326"/>
      <c r="F102" s="326"/>
    </row>
    <row r="103" spans="1:6">
      <c r="A103" s="1298" t="s">
        <v>76</v>
      </c>
      <c r="B103" s="1299">
        <v>104</v>
      </c>
      <c r="C103" s="326"/>
      <c r="D103" s="326"/>
      <c r="E103" s="326"/>
      <c r="F103" s="326"/>
    </row>
    <row r="104" spans="1:6">
      <c r="A104" s="1298" t="s">
        <v>77</v>
      </c>
      <c r="B104" s="1299">
        <v>807</v>
      </c>
      <c r="C104" s="326"/>
      <c r="D104" s="326"/>
      <c r="E104" s="326"/>
      <c r="F104" s="326"/>
    </row>
    <row r="105" spans="1:6">
      <c r="A105" s="1293" t="s">
        <v>78</v>
      </c>
      <c r="B105" s="1302">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21</v>
      </c>
      <c r="C123" s="1299">
        <v>46</v>
      </c>
      <c r="D123" s="326"/>
      <c r="E123" s="326"/>
      <c r="F123" s="326"/>
    </row>
    <row r="124" spans="1:6" s="43" customFormat="1">
      <c r="A124" s="1300" t="s">
        <v>88</v>
      </c>
      <c r="B124" s="1321">
        <v>1</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81</v>
      </c>
      <c r="C129" s="326"/>
      <c r="D129" s="326"/>
      <c r="E129" s="326"/>
      <c r="F129" s="326"/>
    </row>
    <row r="130" spans="1:6">
      <c r="A130" s="1298" t="s">
        <v>289</v>
      </c>
      <c r="B130" s="1299">
        <v>1</v>
      </c>
      <c r="C130" s="326"/>
      <c r="D130" s="326"/>
      <c r="E130" s="326"/>
      <c r="F130" s="326"/>
    </row>
    <row r="131" spans="1:6">
      <c r="A131" s="1298" t="s">
        <v>290</v>
      </c>
      <c r="B131" s="1299">
        <v>2</v>
      </c>
      <c r="C131" s="326"/>
      <c r="D131" s="326"/>
      <c r="E131" s="326"/>
      <c r="F131" s="326"/>
    </row>
    <row r="132" spans="1:6">
      <c r="A132" s="1293" t="s">
        <v>291</v>
      </c>
      <c r="B132" s="1294">
        <v>11</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28504.980836309776</v>
      </c>
      <c r="C3" s="43" t="s">
        <v>169</v>
      </c>
      <c r="D3" s="43"/>
      <c r="E3" s="154"/>
      <c r="F3" s="43"/>
      <c r="G3" s="43"/>
      <c r="H3" s="43"/>
      <c r="I3" s="43"/>
      <c r="J3" s="43"/>
      <c r="K3" s="96"/>
    </row>
    <row r="4" spans="1:11">
      <c r="A4" s="354" t="s">
        <v>170</v>
      </c>
      <c r="B4" s="49">
        <f>IF(ISERROR('SEAP template'!B78+'SEAP template'!C78),0,'SEAP template'!B78+'SEAP template'!C78)</f>
        <v>5155.6740439940013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5.0874074074074063</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0.18120637365697262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7.2873673673673665</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32.468468468468465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0.22444444444444445</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950.83299999999997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950.83299999999997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0.18120637365697262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172.29699988338024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13750.07395</v>
      </c>
      <c r="C5" s="17">
        <f>IF(ISERROR('Eigen informatie GS &amp; warmtenet'!B59),0,'Eigen informatie GS &amp; warmtenet'!B59)</f>
        <v>0</v>
      </c>
      <c r="D5" s="30">
        <f>(SUM(HH_hh_gas_kWh,HH_rest_gas_kWh)/1000)*0.902</f>
        <v>36360.859911749998</v>
      </c>
      <c r="E5" s="17">
        <f>B32*B41</f>
        <v>1035.4122275368704</v>
      </c>
      <c r="F5" s="17">
        <f>B36*B45</f>
        <v>16692.225111870241</v>
      </c>
      <c r="G5" s="18"/>
      <c r="H5" s="17"/>
      <c r="I5" s="17"/>
      <c r="J5" s="17">
        <f>B35*B44+C35*C44</f>
        <v>66.684703392478909</v>
      </c>
      <c r="K5" s="17"/>
      <c r="L5" s="17"/>
      <c r="M5" s="17"/>
      <c r="N5" s="17">
        <f>B34*B43+C34*C43</f>
        <v>5240.1919991063369</v>
      </c>
      <c r="O5" s="17">
        <f>B52*B53*B54</f>
        <v>253.94665208154007</v>
      </c>
      <c r="P5" s="17">
        <f>B60*B61*B62/1000-B60*B61*B62/1000/B63</f>
        <v>347.62065715360575</v>
      </c>
    </row>
    <row r="6" spans="1:16">
      <c r="A6" s="16" t="s">
        <v>604</v>
      </c>
      <c r="B6" s="778">
        <f>kWh_PV_kleiner_dan_10kW</f>
        <v>2307.9530894520735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16058.027039452074</v>
      </c>
      <c r="C8" s="21">
        <f>C5</f>
        <v>0</v>
      </c>
      <c r="D8" s="21">
        <f>D5</f>
        <v>36360.859911749998</v>
      </c>
      <c r="E8" s="21">
        <f>E5</f>
        <v>1035.4122275368704</v>
      </c>
      <c r="F8" s="21">
        <f>F5</f>
        <v>16692.225111870241</v>
      </c>
      <c r="G8" s="21"/>
      <c r="H8" s="21"/>
      <c r="I8" s="21"/>
      <c r="J8" s="21">
        <f>J5</f>
        <v>66.684703392478909</v>
      </c>
      <c r="K8" s="21"/>
      <c r="L8" s="21">
        <f>L5</f>
        <v>0</v>
      </c>
      <c r="M8" s="21">
        <f>M5</f>
        <v>0</v>
      </c>
      <c r="N8" s="21">
        <f>N5</f>
        <v>5240.1919991063369</v>
      </c>
      <c r="O8" s="21">
        <f>O5</f>
        <v>253.94665208154007</v>
      </c>
      <c r="P8" s="21">
        <f>P5</f>
        <v>347.62065715360575</v>
      </c>
    </row>
    <row r="9" spans="1:16">
      <c r="B9" s="19"/>
      <c r="C9" s="19"/>
      <c r="D9" s="256"/>
      <c r="E9" s="19"/>
      <c r="F9" s="19"/>
      <c r="G9" s="19"/>
      <c r="H9" s="19"/>
      <c r="I9" s="19"/>
      <c r="J9" s="19"/>
      <c r="K9" s="19"/>
      <c r="L9" s="19"/>
      <c r="M9" s="19"/>
      <c r="N9" s="19"/>
      <c r="O9" s="19"/>
      <c r="P9" s="19"/>
    </row>
    <row r="10" spans="1:16">
      <c r="A10" s="24" t="s">
        <v>213</v>
      </c>
      <c r="B10" s="25">
        <f ca="1">'EF ele_warmte'!B12</f>
        <v>0.18120637365697262</v>
      </c>
      <c r="C10" s="25">
        <f ca="1">'EF ele_warmte'!B22</f>
        <v>0.22444444444444445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2909.8168479047222</v>
      </c>
      <c r="C12" s="23">
        <f ca="1">C10*C8</f>
        <v>0</v>
      </c>
      <c r="D12" s="23">
        <f>D8*D10</f>
        <v>7344.8937021735001</v>
      </c>
      <c r="E12" s="23">
        <f>E10*E8</f>
        <v>235.0385756508696</v>
      </c>
      <c r="F12" s="23">
        <f>F10*F8</f>
        <v>4456.8241048693544</v>
      </c>
      <c r="G12" s="23"/>
      <c r="H12" s="23"/>
      <c r="I12" s="23"/>
      <c r="J12" s="23">
        <f>J10*J8</f>
        <v>23.606385000937532</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3920</v>
      </c>
      <c r="C26" s="36"/>
      <c r="D26" s="226"/>
    </row>
    <row r="27" spans="1:7" s="15" customFormat="1">
      <c r="A27" s="228" t="s">
        <v>806</v>
      </c>
      <c r="B27" s="37">
        <f>SUM(HH_hh_gas_aantal,HH_rest_gas_aantal)</f>
        <v>2828</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2686.6</v>
      </c>
      <c r="C31" s="166" t="s">
        <v>110</v>
      </c>
      <c r="D31" s="231"/>
      <c r="G31" s="15"/>
    </row>
    <row r="32" spans="1:7">
      <c r="A32" s="169" t="s">
        <v>72</v>
      </c>
      <c r="B32" s="166">
        <f>IF((B21*($B$26-($B$27-0.05*$B$27)-$B$60))&lt;0,0,B21*($B$26-($B$27-0.05*$B$27)-$B$60))</f>
        <v>19.056588512199212</v>
      </c>
      <c r="C32" s="166" t="s">
        <v>110</v>
      </c>
      <c r="D32" s="231"/>
      <c r="G32" s="15"/>
    </row>
    <row r="33" spans="1:7">
      <c r="A33" s="169" t="s">
        <v>73</v>
      </c>
      <c r="B33" s="166">
        <f>IF((B22*($B$26-($B$27-0.05*$B$27)-$B$60))&lt;0,0,B22*($B$26-($B$27-0.05*$B$27)-$B$60))</f>
        <v>309.44125545031494</v>
      </c>
      <c r="C33" s="166" t="s">
        <v>110</v>
      </c>
      <c r="D33" s="231"/>
      <c r="G33" s="15"/>
    </row>
    <row r="34" spans="1:7">
      <c r="A34" s="169" t="s">
        <v>74</v>
      </c>
      <c r="B34" s="166">
        <f>IF((B24*($B$26-($B$27-0.05*$B$27)-$B$60))&lt;0,0,B24*($B$26-($B$27-0.05*$B$27)-$B$60))</f>
        <v>59.324029756316236</v>
      </c>
      <c r="C34" s="166">
        <f>B26*C24</f>
        <v>803.23128404165311</v>
      </c>
      <c r="D34" s="231"/>
      <c r="G34" s="15"/>
    </row>
    <row r="35" spans="1:7">
      <c r="A35" s="169" t="s">
        <v>76</v>
      </c>
      <c r="B35" s="166">
        <f>IF((B19*($B$26-($B$27-0.05*$B$27)-$B$60))&lt;0,0,B19*($B$26-($B$27-0.05*$B$27)-$B$60))</f>
        <v>8.2838535941024443</v>
      </c>
      <c r="C35" s="166">
        <f>B35/2</f>
        <v>4.1419267970512221</v>
      </c>
      <c r="D35" s="232"/>
      <c r="G35" s="15"/>
    </row>
    <row r="36" spans="1:7">
      <c r="A36" s="169" t="s">
        <v>77</v>
      </c>
      <c r="B36" s="166">
        <f>IF((B18*($B$26-($B$27-0.05*$B$27)-$B$60))&lt;0,0,B18*($B$26-($B$27-0.05*$B$27)-$B$60))</f>
        <v>804.29427268706695</v>
      </c>
      <c r="C36" s="166" t="s">
        <v>110</v>
      </c>
      <c r="D36" s="232"/>
      <c r="G36" s="15"/>
    </row>
    <row r="37" spans="1:7">
      <c r="A37" s="169" t="s">
        <v>78</v>
      </c>
      <c r="B37" s="166">
        <f>B60</f>
        <v>33</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128</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33</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7552.2556359999999</v>
      </c>
      <c r="C5" s="17">
        <f>IF(ISERROR('Eigen informatie GS &amp; warmtenet'!B60),0,'Eigen informatie GS &amp; warmtenet'!B60)</f>
        <v>0</v>
      </c>
      <c r="D5" s="30">
        <f>SUM(D6:D12)</f>
        <v>10362.181494984001</v>
      </c>
      <c r="E5" s="17">
        <f>SUM(E6:E12)</f>
        <v>122.75104987500703</v>
      </c>
      <c r="F5" s="17">
        <f>SUM(F6:F12)</f>
        <v>842.27866496993863</v>
      </c>
      <c r="G5" s="18"/>
      <c r="H5" s="17"/>
      <c r="I5" s="17"/>
      <c r="J5" s="17">
        <f>SUM(J6:J12)</f>
        <v>1.3046386572087294E-2</v>
      </c>
      <c r="K5" s="17"/>
      <c r="L5" s="17"/>
      <c r="M5" s="17"/>
      <c r="N5" s="17">
        <f>SUM(N6:N12)</f>
        <v>513.9722281455297</v>
      </c>
      <c r="O5" s="17">
        <f>B38*B39*B40</f>
        <v>4.8972607658411542</v>
      </c>
      <c r="P5" s="17">
        <f>B46*B47*B48/1000-B46*B47*B48/1000/B49</f>
        <v>105.07827661299004</v>
      </c>
      <c r="R5" s="32"/>
    </row>
    <row r="6" spans="1:18">
      <c r="A6" s="32" t="s">
        <v>53</v>
      </c>
      <c r="B6" s="37">
        <f>B26</f>
        <v>2140.445107</v>
      </c>
      <c r="C6" s="33"/>
      <c r="D6" s="37">
        <f>IF(ISERROR(TER_kantoor_gas_kWh/1000),0,TER_kantoor_gas_kWh/1000)*0.902</f>
        <v>2793.8807325000002</v>
      </c>
      <c r="E6" s="33">
        <f>$C$26*'E Balans VL '!I12/100/3.6*1000000</f>
        <v>17.223475495260857</v>
      </c>
      <c r="F6" s="33">
        <f>$C$26*('E Balans VL '!L12+'E Balans VL '!N12)/100/3.6*1000000</f>
        <v>261.69193109238671</v>
      </c>
      <c r="G6" s="34"/>
      <c r="H6" s="33"/>
      <c r="I6" s="33"/>
      <c r="J6" s="33">
        <f>$C$26*('E Balans VL '!D12+'E Balans VL '!E12)/100/3.6*1000000</f>
        <v>0</v>
      </c>
      <c r="K6" s="33"/>
      <c r="L6" s="33"/>
      <c r="M6" s="33"/>
      <c r="N6" s="33">
        <f>$C$26*'E Balans VL '!Y12/100/3.6*1000000</f>
        <v>1.150383839499493</v>
      </c>
      <c r="O6" s="33"/>
      <c r="P6" s="33"/>
      <c r="R6" s="32"/>
    </row>
    <row r="7" spans="1:18">
      <c r="A7" s="32" t="s">
        <v>52</v>
      </c>
      <c r="B7" s="37">
        <f t="shared" ref="B7:B12" si="0">B27</f>
        <v>735.67462899999998</v>
      </c>
      <c r="C7" s="33"/>
      <c r="D7" s="37">
        <f>IF(ISERROR(TER_horeca_gas_kWh/1000),0,TER_horeca_gas_kWh/1000)*0.902</f>
        <v>1246.642474</v>
      </c>
      <c r="E7" s="33">
        <f>$C$27*'E Balans VL '!I9/100/3.6*1000000</f>
        <v>7.8993390143986275</v>
      </c>
      <c r="F7" s="33">
        <f>$C$27*('E Balans VL '!L9+'E Balans VL '!N9)/100/3.6*1000000</f>
        <v>88.483818720690181</v>
      </c>
      <c r="G7" s="34"/>
      <c r="H7" s="33"/>
      <c r="I7" s="33"/>
      <c r="J7" s="33">
        <f>$C$27*('E Balans VL '!D9+'E Balans VL '!E9)/100/3.6*1000000</f>
        <v>0</v>
      </c>
      <c r="K7" s="33"/>
      <c r="L7" s="33"/>
      <c r="M7" s="33"/>
      <c r="N7" s="33">
        <f>$C$27*'E Balans VL '!Y9/100/3.6*1000000</f>
        <v>0.11029253728075497</v>
      </c>
      <c r="O7" s="33"/>
      <c r="P7" s="33"/>
      <c r="R7" s="32"/>
    </row>
    <row r="8" spans="1:18">
      <c r="A8" s="6" t="s">
        <v>51</v>
      </c>
      <c r="B8" s="37">
        <f t="shared" si="0"/>
        <v>3408.9919</v>
      </c>
      <c r="C8" s="33"/>
      <c r="D8" s="37">
        <f>IF(ISERROR(TER_handel_gas_kWh/1000),0,TER_handel_gas_kWh/1000)*0.902</f>
        <v>3227.8980117999999</v>
      </c>
      <c r="E8" s="33">
        <f>$C$28*'E Balans VL '!I13/100/3.6*1000000</f>
        <v>91.486906068540733</v>
      </c>
      <c r="F8" s="33">
        <f>$C$28*('E Balans VL '!L13+'E Balans VL '!N13)/100/3.6*1000000</f>
        <v>325.32289509950635</v>
      </c>
      <c r="G8" s="34"/>
      <c r="H8" s="33"/>
      <c r="I8" s="33"/>
      <c r="J8" s="33">
        <f>$C$28*('E Balans VL '!D13+'E Balans VL '!E13)/100/3.6*1000000</f>
        <v>0</v>
      </c>
      <c r="K8" s="33"/>
      <c r="L8" s="33"/>
      <c r="M8" s="33"/>
      <c r="N8" s="33">
        <f>$C$28*'E Balans VL '!Y13/100/3.6*1000000</f>
        <v>1.3513631507120036</v>
      </c>
      <c r="O8" s="33"/>
      <c r="P8" s="33"/>
      <c r="R8" s="32"/>
    </row>
    <row r="9" spans="1:18">
      <c r="A9" s="32" t="s">
        <v>50</v>
      </c>
      <c r="B9" s="37">
        <f t="shared" si="0"/>
        <v>328.435</v>
      </c>
      <c r="C9" s="33"/>
      <c r="D9" s="37">
        <f>IF(ISERROR(TER_gezond_gas_kWh/1000),0,TER_gezond_gas_kWh/1000)*0.902</f>
        <v>390.12762800000002</v>
      </c>
      <c r="E9" s="33">
        <f>$C$29*'E Balans VL '!I10/100/3.6*1000000</f>
        <v>0.61559413307987465</v>
      </c>
      <c r="F9" s="33">
        <f>$C$29*('E Balans VL '!L10+'E Balans VL '!N10)/100/3.6*1000000</f>
        <v>27.000353738466373</v>
      </c>
      <c r="G9" s="34"/>
      <c r="H9" s="33"/>
      <c r="I9" s="33"/>
      <c r="J9" s="33">
        <f>$C$29*('E Balans VL '!D10+'E Balans VL '!E10)/100/3.6*1000000</f>
        <v>0</v>
      </c>
      <c r="K9" s="33"/>
      <c r="L9" s="33"/>
      <c r="M9" s="33"/>
      <c r="N9" s="33">
        <f>$C$29*'E Balans VL '!Y10/100/3.6*1000000</f>
        <v>2.5554693477201602</v>
      </c>
      <c r="O9" s="33"/>
      <c r="P9" s="33"/>
      <c r="R9" s="32"/>
    </row>
    <row r="10" spans="1:18">
      <c r="A10" s="32" t="s">
        <v>49</v>
      </c>
      <c r="B10" s="37">
        <f t="shared" si="0"/>
        <v>768.51700000000005</v>
      </c>
      <c r="C10" s="33"/>
      <c r="D10" s="37">
        <f>IF(ISERROR(TER_ander_gas_kWh/1000),0,TER_ander_gas_kWh/1000)*0.902</f>
        <v>1719.3946026840001</v>
      </c>
      <c r="E10" s="33">
        <f>$C$30*'E Balans VL '!I14/100/3.6*1000000</f>
        <v>1.1846767427624381</v>
      </c>
      <c r="F10" s="33">
        <f>$C$30*('E Balans VL '!L14+'E Balans VL '!N14)/100/3.6*1000000</f>
        <v>119.31247641078222</v>
      </c>
      <c r="G10" s="34"/>
      <c r="H10" s="33"/>
      <c r="I10" s="33"/>
      <c r="J10" s="33">
        <f>$C$30*('E Balans VL '!D14+'E Balans VL '!E14)/100/3.6*1000000</f>
        <v>1.3046386572087294E-2</v>
      </c>
      <c r="K10" s="33"/>
      <c r="L10" s="33"/>
      <c r="M10" s="33"/>
      <c r="N10" s="33">
        <f>$C$30*'E Balans VL '!Y14/100/3.6*1000000</f>
        <v>508.42621641503786</v>
      </c>
      <c r="O10" s="33"/>
      <c r="P10" s="33"/>
      <c r="R10" s="32"/>
    </row>
    <row r="11" spans="1:18">
      <c r="A11" s="32" t="s">
        <v>54</v>
      </c>
      <c r="B11" s="37">
        <f t="shared" si="0"/>
        <v>170.19200000000001</v>
      </c>
      <c r="C11" s="33"/>
      <c r="D11" s="37">
        <f>IF(ISERROR(TER_onderwijs_gas_kWh/1000),0,TER_onderwijs_gas_kWh/1000)*0.902</f>
        <v>984.23804600000005</v>
      </c>
      <c r="E11" s="33">
        <f>$C$31*'E Balans VL '!I11/100/3.6*1000000</f>
        <v>4.3410584209645053</v>
      </c>
      <c r="F11" s="33">
        <f>$C$31*('E Balans VL '!L11+'E Balans VL '!N11)/100/3.6*1000000</f>
        <v>20.4671899081068</v>
      </c>
      <c r="G11" s="34"/>
      <c r="H11" s="33"/>
      <c r="I11" s="33"/>
      <c r="J11" s="33">
        <f>$C$31*('E Balans VL '!D11+'E Balans VL '!E11)/100/3.6*1000000</f>
        <v>0</v>
      </c>
      <c r="K11" s="33"/>
      <c r="L11" s="33"/>
      <c r="M11" s="33"/>
      <c r="N11" s="33">
        <f>$C$31*'E Balans VL '!Y11/100/3.6*1000000</f>
        <v>0.37850285527941741</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energieproductie'!N38+'lokale energieproductie'!N31</f>
        <v>22.666666666666664</v>
      </c>
      <c r="C13" s="245">
        <f ca="1">'lokale energieproductie'!O38+'lokale energieproductie'!O31</f>
        <v>32.468468468468465</v>
      </c>
      <c r="D13" s="304">
        <f ca="1">('lokale energieproductie'!P31+'lokale energieproductie'!P38)*(-1)</f>
        <v>-61.261261261261254</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7574.9223026666668</v>
      </c>
      <c r="C16" s="21">
        <f t="shared" ca="1" si="1"/>
        <v>32.468468468468465</v>
      </c>
      <c r="D16" s="21">
        <f t="shared" ca="1" si="1"/>
        <v>10300.92023372274</v>
      </c>
      <c r="E16" s="21">
        <f t="shared" si="1"/>
        <v>122.75104987500703</v>
      </c>
      <c r="F16" s="21">
        <f t="shared" ca="1" si="1"/>
        <v>842.27866496993863</v>
      </c>
      <c r="G16" s="21">
        <f t="shared" si="1"/>
        <v>0</v>
      </c>
      <c r="H16" s="21">
        <f t="shared" si="1"/>
        <v>0</v>
      </c>
      <c r="I16" s="21">
        <f t="shared" si="1"/>
        <v>0</v>
      </c>
      <c r="J16" s="21">
        <f t="shared" si="1"/>
        <v>1.3046386572087294E-2</v>
      </c>
      <c r="K16" s="21">
        <f t="shared" si="1"/>
        <v>0</v>
      </c>
      <c r="L16" s="21">
        <f t="shared" ca="1" si="1"/>
        <v>0</v>
      </c>
      <c r="M16" s="21">
        <f t="shared" si="1"/>
        <v>0</v>
      </c>
      <c r="N16" s="21">
        <f t="shared" ca="1" si="1"/>
        <v>513.9722281455297</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0.18120637365697262</v>
      </c>
      <c r="C18" s="25">
        <f ca="1">'EF ele_warmte'!B22</f>
        <v>0.22444444444444445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1372.6242011995514</v>
      </c>
      <c r="C20" s="23">
        <f t="shared" ref="C20:P20" ca="1" si="2">C16*C18</f>
        <v>7.2873673673673665</v>
      </c>
      <c r="D20" s="23">
        <f t="shared" ca="1" si="2"/>
        <v>2080.7858872119937</v>
      </c>
      <c r="E20" s="23">
        <f t="shared" si="2"/>
        <v>27.864488321626595</v>
      </c>
      <c r="F20" s="23">
        <f t="shared" ca="1" si="2"/>
        <v>224.88840354697362</v>
      </c>
      <c r="G20" s="23">
        <f t="shared" si="2"/>
        <v>0</v>
      </c>
      <c r="H20" s="23">
        <f t="shared" si="2"/>
        <v>0</v>
      </c>
      <c r="I20" s="23">
        <f t="shared" si="2"/>
        <v>0</v>
      </c>
      <c r="J20" s="23">
        <f t="shared" si="2"/>
        <v>4.6184208465189017E-3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2140.445107</v>
      </c>
      <c r="C26" s="39">
        <f>IF(ISERROR(B26*3.6/1000000/'E Balans VL '!Z12*100),0,B26*3.6/1000000/'E Balans VL '!Z12*100)</f>
        <v>4.5407584662608844E-2</v>
      </c>
      <c r="D26" s="235" t="s">
        <v>698</v>
      </c>
      <c r="F26" s="6"/>
    </row>
    <row r="27" spans="1:18">
      <c r="A27" s="229" t="s">
        <v>52</v>
      </c>
      <c r="B27" s="33">
        <f>IF(ISERROR(TER_horeca_ele_kWh/1000),0,TER_horeca_ele_kWh/1000)</f>
        <v>735.67462899999998</v>
      </c>
      <c r="C27" s="39">
        <f>IF(ISERROR(B27*3.6/1000000/'E Balans VL '!Z9*100),0,B27*3.6/1000000/'E Balans VL '!Z9*100)</f>
        <v>5.5402816542225244E-2</v>
      </c>
      <c r="D27" s="235" t="s">
        <v>698</v>
      </c>
      <c r="F27" s="6"/>
    </row>
    <row r="28" spans="1:18">
      <c r="A28" s="169" t="s">
        <v>51</v>
      </c>
      <c r="B28" s="33">
        <f>IF(ISERROR(TER_handel_ele_kWh/1000),0,TER_handel_ele_kWh/1000)</f>
        <v>3408.9919</v>
      </c>
      <c r="C28" s="39">
        <f>IF(ISERROR(B28*3.6/1000000/'E Balans VL '!Z13*100),0,B28*3.6/1000000/'E Balans VL '!Z13*100)</f>
        <v>9.8950955856272879E-2</v>
      </c>
      <c r="D28" s="235" t="s">
        <v>698</v>
      </c>
      <c r="F28" s="6"/>
    </row>
    <row r="29" spans="1:18">
      <c r="A29" s="229" t="s">
        <v>50</v>
      </c>
      <c r="B29" s="33">
        <f>IF(ISERROR(TER_gezond_ele_kWh/1000),0,TER_gezond_ele_kWh/1000)</f>
        <v>328.435</v>
      </c>
      <c r="C29" s="39">
        <f>IF(ISERROR(B29*3.6/1000000/'E Balans VL '!Z10*100),0,B29*3.6/1000000/'E Balans VL '!Z10*100)</f>
        <v>3.3123061424690063E-2</v>
      </c>
      <c r="D29" s="235" t="s">
        <v>698</v>
      </c>
      <c r="F29" s="6"/>
    </row>
    <row r="30" spans="1:18">
      <c r="A30" s="229" t="s">
        <v>49</v>
      </c>
      <c r="B30" s="33">
        <f>IF(ISERROR(TER_ander_ele_kWh/1000),0,TER_ander_ele_kWh/1000)</f>
        <v>768.51700000000005</v>
      </c>
      <c r="C30" s="39">
        <f>IF(ISERROR(B30*3.6/1000000/'E Balans VL '!Z14*100),0,B30*3.6/1000000/'E Balans VL '!Z14*100)</f>
        <v>5.5766392844265336E-2</v>
      </c>
      <c r="D30" s="235" t="s">
        <v>698</v>
      </c>
      <c r="F30" s="6"/>
    </row>
    <row r="31" spans="1:18">
      <c r="A31" s="229" t="s">
        <v>54</v>
      </c>
      <c r="B31" s="33">
        <f>IF(ISERROR(TER_onderwijs_ele_kWh/1000),0,TER_onderwijs_ele_kWh/1000)</f>
        <v>170.19200000000001</v>
      </c>
      <c r="C31" s="39">
        <f>IF(ISERROR(B31*3.6/1000000/'E Balans VL '!Z11*100),0,B31*3.6/1000000/'E Balans VL '!Z11*100)</f>
        <v>4.8511650540951128E-2</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1859.297133</v>
      </c>
      <c r="C5" s="17">
        <f>IF(ISERROR('Eigen informatie GS &amp; warmtenet'!B61),0,'Eigen informatie GS &amp; warmtenet'!B61)</f>
        <v>0</v>
      </c>
      <c r="D5" s="30">
        <f>SUM(D6:D15)</f>
        <v>1668.3410039999999</v>
      </c>
      <c r="E5" s="17">
        <f>SUM(E6:E15)</f>
        <v>340.95046390856817</v>
      </c>
      <c r="F5" s="17">
        <f>SUM(F6:F15)</f>
        <v>1053.13385443368</v>
      </c>
      <c r="G5" s="18"/>
      <c r="H5" s="17"/>
      <c r="I5" s="17"/>
      <c r="J5" s="17">
        <f>SUM(J6:J15)</f>
        <v>5.6362822147082507</v>
      </c>
      <c r="K5" s="17"/>
      <c r="L5" s="17"/>
      <c r="M5" s="17"/>
      <c r="N5" s="17">
        <f>SUM(N6:N15)</f>
        <v>120.08571191396598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100.57299999999999</v>
      </c>
      <c r="C8" s="33"/>
      <c r="D8" s="37">
        <f>IF( ISERROR(IND_metaal_Gas_kWH/1000),0,IND_metaal_Gas_kWH/1000)*0.902</f>
        <v>81.04379800000001</v>
      </c>
      <c r="E8" s="33">
        <f>C30*'E Balans VL '!I18/100/3.6*1000000</f>
        <v>0.72556360627140815</v>
      </c>
      <c r="F8" s="33">
        <f>C30*'E Balans VL '!L18/100/3.6*1000000+C30*'E Balans VL '!N18/100/3.6*1000000</f>
        <v>9.512351363783651</v>
      </c>
      <c r="G8" s="34"/>
      <c r="H8" s="33"/>
      <c r="I8" s="33"/>
      <c r="J8" s="40">
        <f>C30*'E Balans VL '!D18/100/3.6*1000000+C30*'E Balans VL '!E18/100/3.6*1000000</f>
        <v>0.10115690784962821</v>
      </c>
      <c r="K8" s="33"/>
      <c r="L8" s="33"/>
      <c r="M8" s="33"/>
      <c r="N8" s="33">
        <f>C30*'E Balans VL '!Y18/100/3.6*1000000</f>
        <v>1.2715088098878895</v>
      </c>
      <c r="O8" s="33"/>
      <c r="P8" s="33"/>
      <c r="R8" s="32"/>
    </row>
    <row r="9" spans="1:18">
      <c r="A9" s="6" t="s">
        <v>32</v>
      </c>
      <c r="B9" s="37">
        <f t="shared" si="0"/>
        <v>1222.4436499999999</v>
      </c>
      <c r="C9" s="33"/>
      <c r="D9" s="37">
        <f>IF( ISERROR(IND_andere_gas_kWh/1000),0,IND_andere_gas_kWh/1000)*0.902</f>
        <v>947.26145800000006</v>
      </c>
      <c r="E9" s="33">
        <f>C31*'E Balans VL '!I19/100/3.6*1000000</f>
        <v>338.75548153447875</v>
      </c>
      <c r="F9" s="33">
        <f>C31*'E Balans VL '!L19/100/3.6*1000000+C31*'E Balans VL '!N19/100/3.6*1000000</f>
        <v>1013.163938841087</v>
      </c>
      <c r="G9" s="34"/>
      <c r="H9" s="33"/>
      <c r="I9" s="33"/>
      <c r="J9" s="40">
        <f>C31*'E Balans VL '!D19/100/3.6*1000000+C31*'E Balans VL '!E19/100/3.6*1000000</f>
        <v>0</v>
      </c>
      <c r="K9" s="33"/>
      <c r="L9" s="33"/>
      <c r="M9" s="33"/>
      <c r="N9" s="33">
        <f>C31*'E Balans VL '!Y19/100/3.6*1000000</f>
        <v>88.73445688547163</v>
      </c>
      <c r="O9" s="33"/>
      <c r="P9" s="33"/>
      <c r="R9" s="32"/>
    </row>
    <row r="10" spans="1:18">
      <c r="A10" s="6" t="s">
        <v>40</v>
      </c>
      <c r="B10" s="37">
        <f t="shared" si="0"/>
        <v>473.43148300000001</v>
      </c>
      <c r="C10" s="33"/>
      <c r="D10" s="37">
        <f>IF( ISERROR(IND_voed_gas_kWh/1000),0,IND_voed_gas_kWh/1000)*0.902</f>
        <v>494.44843800000001</v>
      </c>
      <c r="E10" s="33">
        <f>C32*'E Balans VL '!I20/100/3.6*1000000</f>
        <v>0.83813408643452858</v>
      </c>
      <c r="F10" s="33">
        <f>C32*'E Balans VL '!L20/100/3.6*1000000+C32*'E Balans VL '!N20/100/3.6*1000000</f>
        <v>25.569496067595221</v>
      </c>
      <c r="G10" s="34"/>
      <c r="H10" s="33"/>
      <c r="I10" s="33"/>
      <c r="J10" s="40">
        <f>C32*'E Balans VL '!D20/100/3.6*1000000+C32*'E Balans VL '!E20/100/3.6*1000000</f>
        <v>0</v>
      </c>
      <c r="K10" s="33"/>
      <c r="L10" s="33"/>
      <c r="M10" s="33"/>
      <c r="N10" s="33">
        <f>C32*'E Balans VL '!Y20/100/3.6*1000000</f>
        <v>27.50998480358977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9.9949999999999992</v>
      </c>
      <c r="C12" s="33"/>
      <c r="D12" s="37">
        <f>IF( ISERROR(IND_min_gas_kWh/1000),0,IND_min_gas_kWh/1000)*0.902</f>
        <v>83.449432000000002</v>
      </c>
      <c r="E12" s="33">
        <f>C34*'E Balans VL '!I22/100/3.6*1000000</f>
        <v>0.44014414749531561</v>
      </c>
      <c r="F12" s="33">
        <f>C34*'E Balans VL '!L22/100/3.6*1000000+C34*'E Balans VL '!N22/100/3.6*1000000</f>
        <v>3.9084486536680165</v>
      </c>
      <c r="G12" s="34"/>
      <c r="H12" s="33"/>
      <c r="I12" s="33"/>
      <c r="J12" s="40">
        <f>C34*'E Balans VL '!D22/100/3.6*1000000+C34*'E Balans VL '!E22/100/3.6*1000000</f>
        <v>3.0348371819300208E-3</v>
      </c>
      <c r="K12" s="33"/>
      <c r="L12" s="33"/>
      <c r="M12" s="33"/>
      <c r="N12" s="33">
        <f>C34*'E Balans VL '!Y22/100/3.6*1000000</f>
        <v>2.4724601007254865</v>
      </c>
      <c r="O12" s="33"/>
      <c r="P12" s="33"/>
      <c r="R12" s="32"/>
    </row>
    <row r="13" spans="1:18">
      <c r="A13" s="6" t="s">
        <v>38</v>
      </c>
      <c r="B13" s="37">
        <f t="shared" si="0"/>
        <v>50.378</v>
      </c>
      <c r="C13" s="33"/>
      <c r="D13" s="37">
        <f>IF( ISERROR(IND_papier_gas_kWh/1000),0,IND_papier_gas_kWh/1000)*0.902</f>
        <v>0</v>
      </c>
      <c r="E13" s="33">
        <f>C35*'E Balans VL '!I23/100/3.6*1000000</f>
        <v>7.4123336806510787E-2</v>
      </c>
      <c r="F13" s="33">
        <f>C35*'E Balans VL '!L23/100/3.6*1000000+C35*'E Balans VL '!N23/100/3.6*1000000</f>
        <v>0.53941268824505406</v>
      </c>
      <c r="G13" s="34"/>
      <c r="H13" s="33"/>
      <c r="I13" s="33"/>
      <c r="J13" s="40">
        <f>C35*'E Balans VL '!D23/100/3.6*1000000+C35*'E Balans VL '!E23/100/3.6*1000000</f>
        <v>5.5116357050407494</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2.476</v>
      </c>
      <c r="C15" s="33"/>
      <c r="D15" s="37">
        <f>IF( ISERROR(IND_rest_gas_kWh/1000),0,IND_rest_gas_kWh/1000)*0.902</f>
        <v>62.137878000000001</v>
      </c>
      <c r="E15" s="33">
        <f>C37*'E Balans VL '!I15/100/3.6*1000000</f>
        <v>0.11701719708166591</v>
      </c>
      <c r="F15" s="33">
        <f>C37*'E Balans VL '!L15/100/3.6*1000000+C37*'E Balans VL '!N15/100/3.6*1000000</f>
        <v>0.44020681930093281</v>
      </c>
      <c r="G15" s="34"/>
      <c r="H15" s="33"/>
      <c r="I15" s="33"/>
      <c r="J15" s="40">
        <f>C37*'E Balans VL '!D15/100/3.6*1000000+C37*'E Balans VL '!E15/100/3.6*1000000</f>
        <v>2.0454764635943107E-2</v>
      </c>
      <c r="K15" s="33"/>
      <c r="L15" s="33"/>
      <c r="M15" s="33"/>
      <c r="N15" s="33">
        <f>C37*'E Balans VL '!Y15/100/3.6*1000000</f>
        <v>9.7301314291196581E-2</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1859.297133</v>
      </c>
      <c r="C18" s="21">
        <f>C5+C16</f>
        <v>0</v>
      </c>
      <c r="D18" s="21">
        <f>MAX((D5+D16),0)</f>
        <v>1668.3410039999999</v>
      </c>
      <c r="E18" s="21">
        <f>MAX((E5+E16),0)</f>
        <v>340.95046390856817</v>
      </c>
      <c r="F18" s="21">
        <f>MAX((F5+F16),0)</f>
        <v>1053.13385443368</v>
      </c>
      <c r="G18" s="21"/>
      <c r="H18" s="21"/>
      <c r="I18" s="21"/>
      <c r="J18" s="21">
        <f>MAX((J5+J16),0)</f>
        <v>5.6362822147082507</v>
      </c>
      <c r="K18" s="21"/>
      <c r="L18" s="21">
        <f>MAX((L5+L16),0)</f>
        <v>0</v>
      </c>
      <c r="M18" s="21"/>
      <c r="N18" s="21">
        <f>MAX((N5+N16),0)</f>
        <v>120.08571191396598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0.18120637365697262</v>
      </c>
      <c r="C20" s="25">
        <f ca="1">'EF ele_warmte'!B22</f>
        <v>0.22444444444444445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336.91649102173591</v>
      </c>
      <c r="C22" s="23">
        <f ca="1">C18*C20</f>
        <v>0</v>
      </c>
      <c r="D22" s="23">
        <f>D18*D20</f>
        <v>337.00488280799999</v>
      </c>
      <c r="E22" s="23">
        <f>E18*E20</f>
        <v>77.395755307244983</v>
      </c>
      <c r="F22" s="23">
        <f>F18*F20</f>
        <v>281.18673913379257</v>
      </c>
      <c r="G22" s="23"/>
      <c r="H22" s="23"/>
      <c r="I22" s="23"/>
      <c r="J22" s="23">
        <f>J18*J20</f>
        <v>1.9952439040067207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100.57299999999999</v>
      </c>
      <c r="C30" s="39">
        <f>IF(ISERROR(B30*3.6/1000000/'E Balans VL '!Z18*100),0,B30*3.6/1000000/'E Balans VL '!Z18*100)</f>
        <v>5.8059223611540058E-3</v>
      </c>
      <c r="D30" s="235" t="s">
        <v>698</v>
      </c>
    </row>
    <row r="31" spans="1:18">
      <c r="A31" s="6" t="s">
        <v>32</v>
      </c>
      <c r="B31" s="37">
        <f>IF( ISERROR(IND_ander_ele_kWh/1000),0,IND_ander_ele_kWh/1000)</f>
        <v>1222.4436499999999</v>
      </c>
      <c r="C31" s="39">
        <f>IF(ISERROR(B31*3.6/1000000/'E Balans VL '!Z19*100),0,B31*3.6/1000000/'E Balans VL '!Z19*100)</f>
        <v>6.148495319733642E-2</v>
      </c>
      <c r="D31" s="235" t="s">
        <v>698</v>
      </c>
    </row>
    <row r="32" spans="1:18">
      <c r="A32" s="169" t="s">
        <v>40</v>
      </c>
      <c r="B32" s="37">
        <f>IF( ISERROR(IND_voed_ele_kWh/1000),0,IND_voed_ele_kWh/1000)</f>
        <v>473.43148300000001</v>
      </c>
      <c r="C32" s="39">
        <f>IF(ISERROR(B32*3.6/1000000/'E Balans VL '!Z20*100),0,B32*3.6/1000000/'E Balans VL '!Z20*100)</f>
        <v>1.5768079737497477E-2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9.9949999999999992</v>
      </c>
      <c r="C34" s="39">
        <f>IF(ISERROR(B34*3.6/1000000/'E Balans VL '!Z22*100),0,B34*3.6/1000000/'E Balans VL '!Z22*100)</f>
        <v>1.8644050947009385E-3</v>
      </c>
      <c r="D34" s="235" t="s">
        <v>698</v>
      </c>
    </row>
    <row r="35" spans="1:5">
      <c r="A35" s="169" t="s">
        <v>38</v>
      </c>
      <c r="B35" s="37">
        <f>IF( ISERROR(IND_papier_ele_kWh/1000),0,IND_papier_ele_kWh/1000)</f>
        <v>50.378</v>
      </c>
      <c r="C35" s="39">
        <f>IF(ISERROR(B35*3.6/1000000/'E Balans VL '!Z22*100),0,B35*3.6/1000000/'E Balans VL '!Z22*100)</f>
        <v>9.3971985853770774E-3</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2.476</v>
      </c>
      <c r="C37" s="39">
        <f>IF(ISERROR(B37*3.6/1000000/'E Balans VL '!Z15*100),0,B37*3.6/1000000/'E Balans VL '!Z15*100)</f>
        <v>1.9319570946834142E-5</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1595.362862</v>
      </c>
      <c r="C5" s="17">
        <f>'Eigen informatie GS &amp; warmtenet'!B62</f>
        <v>0</v>
      </c>
      <c r="D5" s="30">
        <f>IF(ISERROR(SUM(LB_lb_gas_kWh,LB_rest_gas_kWh)/1000),0,SUM(LB_lb_gas_kWh,LB_rest_gas_kWh)/1000)*0.902</f>
        <v>193.08112779999999</v>
      </c>
      <c r="E5" s="17">
        <f>B17*'E Balans VL '!I25/3.6*1000000/100</f>
        <v>49.790748837250206</v>
      </c>
      <c r="F5" s="17">
        <f>B17*('E Balans VL '!L25/3.6*1000000+'E Balans VL '!N25/3.6*1000000)/100</f>
        <v>5638.1890838383979</v>
      </c>
      <c r="G5" s="18"/>
      <c r="H5" s="17"/>
      <c r="I5" s="17"/>
      <c r="J5" s="17">
        <f>('E Balans VL '!D25+'E Balans VL '!E25)/3.6*1000000*landbouw!B17/100</f>
        <v>439.53353222548606</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1595.362862</v>
      </c>
      <c r="C8" s="21">
        <f>C5+C6</f>
        <v>0</v>
      </c>
      <c r="D8" s="21">
        <f>MAX((D5+D6),0)</f>
        <v>193.08112779999999</v>
      </c>
      <c r="E8" s="21">
        <f>MAX((E5+E6),0)</f>
        <v>49.790748837250206</v>
      </c>
      <c r="F8" s="21">
        <f>MAX((F5+F6),0)</f>
        <v>5638.1890838383979</v>
      </c>
      <c r="G8" s="21"/>
      <c r="H8" s="21"/>
      <c r="I8" s="21"/>
      <c r="J8" s="21">
        <f>MAX((J5+J6),0)</f>
        <v>439.53353222548606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0.18120637365697262</v>
      </c>
      <c r="C10" s="31">
        <f ca="1">'EF ele_warmte'!B22</f>
        <v>0.22444444444444445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289.08991889002925</v>
      </c>
      <c r="C12" s="23">
        <f ca="1">C8*C10</f>
        <v>0</v>
      </c>
      <c r="D12" s="23">
        <f>D8*D10</f>
        <v>39.002387815600002</v>
      </c>
      <c r="E12" s="23">
        <f>E8*E10</f>
        <v>11.302499986055798</v>
      </c>
      <c r="F12" s="23">
        <f>F8*F10</f>
        <v>1505.3964853848522</v>
      </c>
      <c r="G12" s="23"/>
      <c r="H12" s="23"/>
      <c r="I12" s="23"/>
      <c r="J12" s="23">
        <f>J8*J10</f>
        <v>155.59487040782204</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0.23716212608059867</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291.38586971490668</v>
      </c>
      <c r="C26" s="245">
        <f>B26*'GWP N2O_CH4'!B5</f>
        <v>6119.1032640130397</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113.66197700258526</v>
      </c>
      <c r="C27" s="245">
        <f>B27*'GWP N2O_CH4'!B5</f>
        <v>2386.9015170542903</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4.2580495946674937</v>
      </c>
      <c r="C28" s="245">
        <f>B28*'GWP N2O_CH4'!B4</f>
        <v>1319.995374346923</v>
      </c>
      <c r="D28" s="50"/>
    </row>
    <row r="29" spans="1:4">
      <c r="A29" s="41" t="s">
        <v>271</v>
      </c>
      <c r="B29" s="245">
        <f>B34*'ha_N2O bodem landbouw'!B4</f>
        <v>16.795315861393473</v>
      </c>
      <c r="C29" s="245">
        <f>B29*'GWP N2O_CH4'!B4</f>
        <v>5206.5479170319768</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3.6829103755407523E-3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5.9312915477494543E-4</v>
      </c>
      <c r="C5" s="433" t="s">
        <v>210</v>
      </c>
      <c r="D5" s="418">
        <f>SUM(D6:D11)</f>
        <v>8.8218207837947502E-4</v>
      </c>
      <c r="E5" s="418">
        <f>SUM(E6:E11)</f>
        <v>8.7638500456479617E-4</v>
      </c>
      <c r="F5" s="431" t="s">
        <v>210</v>
      </c>
      <c r="G5" s="418">
        <f>SUM(G6:G11)</f>
        <v>0.42925363787704307</v>
      </c>
      <c r="H5" s="418">
        <f>SUM(H6:H11)</f>
        <v>8.0847547963881911E-2</v>
      </c>
      <c r="I5" s="433" t="s">
        <v>210</v>
      </c>
      <c r="J5" s="433" t="s">
        <v>210</v>
      </c>
      <c r="K5" s="433" t="s">
        <v>210</v>
      </c>
      <c r="L5" s="433" t="s">
        <v>210</v>
      </c>
      <c r="M5" s="418">
        <f>SUM(M6:M11)</f>
        <v>3.0095863808207959E-2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1.3087090568591705E-4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2.2092281410308545E-4</v>
      </c>
      <c r="E6" s="884">
        <f>vkm_GW_PW*SUMIFS(TableVerdeelsleutelVkm[LPG],TableVerdeelsleutelVkm[Voertuigtype],"Lichte voertuigen")*SUMIFS(TableECFTransport[EnergieConsumptieFactor (PJ per km)],TableECFTransport[Index],CONCATENATE($A6,"_LPG_LPG"))</f>
        <v>1.9358857124341966E-4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6.0473309834276935E-2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1.9706352450852508E-2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4.7905619174367885E-3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7.1773925257026155E-7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2.7394100161289684E-2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3.8078677406134759E-7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1.5790611287830798E-3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4.5259360844989951E-5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9.7555997024591654E-5</v>
      </c>
      <c r="E8" s="421">
        <f>vkm_NGW_PW*SUMIFS(TableVerdeelsleutelVkm[LPG],TableVerdeelsleutelVkm[Voertuigtype],"Lichte voertuigen")*SUMIFS(TableECFTransport[EnergieConsumptieFactor (PJ per km)],TableECFTransport[Index],CONCATENATE($A8,"_LPG_LPG"))</f>
        <v>8.188966420179506E-5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2.363434716025219E-2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8.5758627066948E-3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1.9301411403135258E-3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1.185812147442811E-7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5.8184114702843955E-3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7.5935961898381994E-8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3.3538675723470698E-4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4.1227101187332114E-4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5.6370326725179798E-4</v>
      </c>
      <c r="E10" s="421">
        <f>vkm_SW_PW*SUMIFS(TableVerdeelsleutelVkm[LPG],TableVerdeelsleutelVkm[Voertuigtype],"Lichte voertuigen")*SUMIFS(TableECFTransport[EnergieConsumptieFactor (PJ per km)],TableECFTransport[Index],CONCATENATE($A10,"_LPG_LPG"))</f>
        <v>6.009067691195814E-4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0.17105993193611635</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5.2562751034981189E-2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1.3340415859129174E-2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3.8915559034027396E-6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0.14087353731482358</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2.1250486174601287E-6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8.1202970053106845E-3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164.75809854859597</v>
      </c>
      <c r="C14" s="21"/>
      <c r="D14" s="21">
        <f t="shared" ref="D14:M14" si="0">((D5)*10^9/3600)+D12</f>
        <v>245.05057732763197</v>
      </c>
      <c r="E14" s="21">
        <f t="shared" si="0"/>
        <v>243.44027904577669</v>
      </c>
      <c r="F14" s="21"/>
      <c r="G14" s="21">
        <f t="shared" si="0"/>
        <v>119237.12163251196</v>
      </c>
      <c r="H14" s="21">
        <f t="shared" si="0"/>
        <v>22457.65221218942</v>
      </c>
      <c r="I14" s="21"/>
      <c r="J14" s="21"/>
      <c r="K14" s="21"/>
      <c r="L14" s="21"/>
      <c r="M14" s="21">
        <f t="shared" si="0"/>
        <v>8359.9621689466549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0.18120637365697262</v>
      </c>
      <c r="C16" s="56">
        <f ca="1">'EF ele_warmte'!B22</f>
        <v>0.22444444444444445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29.855217568609199</v>
      </c>
      <c r="C18" s="23"/>
      <c r="D18" s="23">
        <f t="shared" ref="D18:M18" si="1">D14*D16</f>
        <v>49.500216620181661</v>
      </c>
      <c r="E18" s="23">
        <f t="shared" si="1"/>
        <v>55.260943343391311</v>
      </c>
      <c r="F18" s="23"/>
      <c r="G18" s="23">
        <f t="shared" si="1"/>
        <v>31836.311475880695</v>
      </c>
      <c r="H18" s="23">
        <f t="shared" si="1"/>
        <v>5591.9554008351652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4.6094222312774854E-5</v>
      </c>
      <c r="C50" s="315">
        <f t="shared" ref="C50:P50" si="2">SUM(C51:C52)</f>
        <v>0</v>
      </c>
      <c r="D50" s="315">
        <f t="shared" si="2"/>
        <v>0</v>
      </c>
      <c r="E50" s="315">
        <f t="shared" si="2"/>
        <v>0</v>
      </c>
      <c r="F50" s="315">
        <f t="shared" si="2"/>
        <v>0</v>
      </c>
      <c r="G50" s="315">
        <f t="shared" si="2"/>
        <v>3.3395958303255413E-3</v>
      </c>
      <c r="H50" s="315">
        <f t="shared" si="2"/>
        <v>0</v>
      </c>
      <c r="I50" s="315">
        <f t="shared" si="2"/>
        <v>0</v>
      </c>
      <c r="J50" s="315">
        <f t="shared" si="2"/>
        <v>0</v>
      </c>
      <c r="K50" s="315">
        <f t="shared" si="2"/>
        <v>0</v>
      </c>
      <c r="L50" s="315">
        <f t="shared" si="2"/>
        <v>0</v>
      </c>
      <c r="M50" s="315">
        <f t="shared" si="2"/>
        <v>1.8889748548309287E-4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4.6094222312774854E-5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3.3395958303255413E-3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1.8889748548309287E-4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12.803950642437458</v>
      </c>
      <c r="C54" s="21">
        <f t="shared" ref="C54:P54" si="3">(C50)*10^9/3600</f>
        <v>0</v>
      </c>
      <c r="D54" s="21">
        <f t="shared" si="3"/>
        <v>0</v>
      </c>
      <c r="E54" s="21">
        <f t="shared" si="3"/>
        <v>0</v>
      </c>
      <c r="F54" s="21">
        <f t="shared" si="3"/>
        <v>0</v>
      </c>
      <c r="G54" s="21">
        <f t="shared" si="3"/>
        <v>927.66550842376137</v>
      </c>
      <c r="H54" s="21">
        <f t="shared" si="3"/>
        <v>0</v>
      </c>
      <c r="I54" s="21">
        <f t="shared" si="3"/>
        <v>0</v>
      </c>
      <c r="J54" s="21">
        <f t="shared" si="3"/>
        <v>0</v>
      </c>
      <c r="K54" s="21">
        <f t="shared" si="3"/>
        <v>0</v>
      </c>
      <c r="L54" s="21">
        <f t="shared" si="3"/>
        <v>0</v>
      </c>
      <c r="M54" s="21">
        <f t="shared" si="3"/>
        <v>52.471523745303571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0.18120637365697262</v>
      </c>
      <c r="C56" s="56">
        <f ca="1">'EF ele_warmte'!B22</f>
        <v>0.22444444444444445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2.3201574643989566</v>
      </c>
      <c r="C58" s="23">
        <f t="shared" ref="C58:P58" ca="1" si="4">C54*C56</f>
        <v>0</v>
      </c>
      <c r="D58" s="23">
        <f t="shared" si="4"/>
        <v>0</v>
      </c>
      <c r="E58" s="23">
        <f t="shared" si="4"/>
        <v>0</v>
      </c>
      <c r="F58" s="23">
        <f t="shared" si="4"/>
        <v>0</v>
      </c>
      <c r="G58" s="23">
        <f t="shared" si="4"/>
        <v>247.6866907491443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5133.0073773273343</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22.666666666666664</v>
      </c>
      <c r="C8" s="543">
        <f>B48</f>
        <v>25.18518518518518</v>
      </c>
      <c r="D8" s="544"/>
      <c r="E8" s="544">
        <f>E48</f>
        <v>0</v>
      </c>
      <c r="F8" s="545"/>
      <c r="G8" s="546"/>
      <c r="H8" s="544">
        <f>I48</f>
        <v>0</v>
      </c>
      <c r="I8" s="544">
        <f>G48+F48</f>
        <v>0</v>
      </c>
      <c r="J8" s="544">
        <f>H48+D48+C48</f>
        <v>0</v>
      </c>
      <c r="K8" s="544"/>
      <c r="L8" s="544"/>
      <c r="M8" s="544"/>
      <c r="N8" s="547"/>
      <c r="O8" s="548">
        <f>C8*$C$12+D8*$D$12+E8*$E$12+F8*$F$12+G8*$G$12+H8*$H$12+I8*$I$12+J8*$J$12</f>
        <v>5.0874074074074063</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5155.6740439940013</v>
      </c>
      <c r="C10" s="558">
        <f t="shared" ref="C10:L10" si="0">SUM(C8:C9)</f>
        <v>25.18518518518518</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5.0874074074074063</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32.468468468468465</v>
      </c>
      <c r="C17" s="574">
        <f>B49</f>
        <v>36.07607607607607</v>
      </c>
      <c r="D17" s="575"/>
      <c r="E17" s="575">
        <f>E49</f>
        <v>0</v>
      </c>
      <c r="F17" s="576"/>
      <c r="G17" s="577"/>
      <c r="H17" s="574">
        <f>I49</f>
        <v>0</v>
      </c>
      <c r="I17" s="575">
        <f>G49+F49</f>
        <v>0</v>
      </c>
      <c r="J17" s="575">
        <f>H49+D49+C49</f>
        <v>0</v>
      </c>
      <c r="K17" s="575"/>
      <c r="L17" s="575"/>
      <c r="M17" s="575"/>
      <c r="N17" s="966"/>
      <c r="O17" s="578">
        <f>C17*$C$22+E17*$E$22+H17*$H$22+I17*$I$22+J17*$J$22+D17*$D$22+F17*$F$22+G17*$G$22+K17*$K$22+L17*$L$22</f>
        <v>7.2873673673673665</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32.468468468468465</v>
      </c>
      <c r="C20" s="557">
        <f>SUM(C17:C19)</f>
        <v>36.07607607607607</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7.2873673673673665</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v>35014</v>
      </c>
      <c r="C28" s="785">
        <v>8460</v>
      </c>
      <c r="D28" s="635" t="s">
        <v>906</v>
      </c>
      <c r="E28" s="634"/>
      <c r="F28" s="634" t="s">
        <v>907</v>
      </c>
      <c r="G28" s="634" t="s">
        <v>908</v>
      </c>
      <c r="H28" s="634" t="s">
        <v>909</v>
      </c>
      <c r="I28" s="634" t="s">
        <v>910</v>
      </c>
      <c r="J28" s="784">
        <v>42839</v>
      </c>
      <c r="K28" s="784">
        <v>42839</v>
      </c>
      <c r="L28" s="634" t="s">
        <v>911</v>
      </c>
      <c r="M28" s="634">
        <v>6.8</v>
      </c>
      <c r="N28" s="634">
        <v>22.666666666666664</v>
      </c>
      <c r="O28" s="634">
        <v>32.468468468468465</v>
      </c>
      <c r="P28" s="634">
        <v>61.261261261261254</v>
      </c>
      <c r="Q28" s="634">
        <v>0</v>
      </c>
      <c r="R28" s="634">
        <v>0</v>
      </c>
      <c r="S28" s="634">
        <v>0</v>
      </c>
      <c r="T28" s="634">
        <v>0</v>
      </c>
      <c r="U28" s="634">
        <v>0</v>
      </c>
      <c r="V28" s="634">
        <v>0</v>
      </c>
      <c r="W28" s="634">
        <v>0</v>
      </c>
      <c r="X28" s="634">
        <v>1100</v>
      </c>
      <c r="Y28" s="634" t="s">
        <v>160</v>
      </c>
      <c r="Z28" s="636" t="s">
        <v>155</v>
      </c>
    </row>
    <row r="29" spans="1:26" s="568" customFormat="1">
      <c r="A29" s="590" t="s">
        <v>274</v>
      </c>
      <c r="B29" s="591"/>
      <c r="C29" s="591"/>
      <c r="D29" s="591"/>
      <c r="E29" s="591"/>
      <c r="F29" s="591"/>
      <c r="G29" s="591"/>
      <c r="H29" s="591"/>
      <c r="I29" s="591"/>
      <c r="J29" s="591"/>
      <c r="K29" s="591"/>
      <c r="L29" s="592"/>
      <c r="M29" s="592">
        <f>SUM(M28:M28)</f>
        <v>6.8</v>
      </c>
      <c r="N29" s="592">
        <f>SUM(N28:N28)</f>
        <v>22.666666666666664</v>
      </c>
      <c r="O29" s="592">
        <f>SUM(O28:O28)</f>
        <v>32.468468468468465</v>
      </c>
      <c r="P29" s="592">
        <f>SUM(P28:P28)</f>
        <v>61.261261261261254</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6.8</v>
      </c>
      <c r="N31" s="592">
        <f ca="1">SUMIF($Z$28:AD28,"tertiair",N28:N28)</f>
        <v>22.666666666666664</v>
      </c>
      <c r="O31" s="592">
        <f ca="1">SUMIF($Z$28:AE28,"tertiair",O28:O28)</f>
        <v>32.468468468468465</v>
      </c>
      <c r="P31" s="592">
        <f ca="1">SUMIF($Z$28:AF28,"tertiair",P28:P28)</f>
        <v>61.261261261261254</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0.58888888888888891</v>
      </c>
      <c r="C45" s="617">
        <f>IF(ISERROR(N29/(O29+N29)),0,N29/(N29+O29))</f>
        <v>0.41111111111111109</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25.18518518518518</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36.07607607607607</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2021-06-29T15:28:52Z</dcterms:modified>
</cp:coreProperties>
</file>