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56" i="22"/>
  <c r="C58" i="22" s="1"/>
  <c r="D49" i="14" s="1"/>
  <c r="D52" i="14" s="1"/>
  <c r="C20" i="16"/>
  <c r="C22" i="16" s="1"/>
  <c r="D43" i="14" s="1"/>
  <c r="C10" i="17"/>
  <c r="C12" i="17" s="1"/>
  <c r="D54" i="14" s="1"/>
  <c r="D56" i="14" s="1"/>
  <c r="C18" i="15"/>
  <c r="C20" i="15" s="1"/>
  <c r="D40" i="14" s="1"/>
  <c r="C22" i="59"/>
  <c r="C17" i="19"/>
  <c r="C19" i="19" s="1"/>
  <c r="D39" i="14" s="1"/>
  <c r="C17" i="4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<sst xmlns="http://schemas.openxmlformats.org/spreadsheetml/2006/main" count="2511" uniqueCount="921">
  <si>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</si>
  <si>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</si>
  <si>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</si>
  <si>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</si>
  <si>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</si>
  <si>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</si>
  <si>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</si>
  <si>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</si>
  <si>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</si>
  <si>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</si>
  <si>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</si>
  <si>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</si>
  <si>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</si>
  <si>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</si>
  <si>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</si>
  <si>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</si>
  <si>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</si>
  <si>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</si>
  <si>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</si>
  <si>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</si>
  <si>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</si>
  <si>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</si>
  <si>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</si>
  <si>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</si>
  <si>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</si>
  <si>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</si>
  <si>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</si>
  <si>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</si>
  <si>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</si>
  <si>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</si>
  <si>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</si>
  <si>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</si>
  <si>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</si>
  <si>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</si>
  <si>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</si>
  <si>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</si>
  <si>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</si>
  <si>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</si>
  <si>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</si>
  <si>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</si>
  <si>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</si>
  <si>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</si>
  <si>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</si>
  <si>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</si>
  <si>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</si>
  <si>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</si>
  <si>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</si>
  <si>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</si>
  <si>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</si>
  <si>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</si>
  <si>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</si>
  <si>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</si>
  <si>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</si>
  <si>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</si>
  <si>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</si>
  <si>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</si>
  <si>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</si>
  <si>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</si>
  <si>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</si>
  <si>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</si>
  <si>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</si>
  <si>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</si>
  <si>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</si>
  <si>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</si>
  <si>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</si>
  <si>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</si>
  <si>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</si>
  <si>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</si>
  <si>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</si>
  <si>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</si>
  <si>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</si>
  <si>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</si>
  <si>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</si>
  <si>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</si>
  <si>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</si>
  <si>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</si>
  <si>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</si>
  <si>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</si>
  <si>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</si>
  <si>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</si>
  <si>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</si>
  <si>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</si>
  <si>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</si>
  <si>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</si>
  <si>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</si>
  <si>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</si>
  <si>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</si>
  <si>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</si>
  <si>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</si>
  <si>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</si>
  <si>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</si>
  <si>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</si>
  <si>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</si>
  <si>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</si>
  <si>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</si>
  <si>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</si>
  <si>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</si>
  <si>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</si>
  <si>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</si>
  <si>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</si>
  <si>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</si>
  <si>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</si>
  <si>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</si>
  <si>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</si>
  <si>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</si>
  <si>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</si>
  <si>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</si>
  <si>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</si>
  <si>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</si>
  <si>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</si>
  <si>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</si>
  <si>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</si>
  <si>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</si>
  <si>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</si>
  <si>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</si>
  <si>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</si>
  <si>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</si>
  <si>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</si>
  <si>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</si>
  <si>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</si>
  <si>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</si>
  <si>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</si>
  <si>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</si>
  <si>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</si>
  <si>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</si>
  <si>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</si>
  <si>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</si>
  <si>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</si>
  <si>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</si>
  <si>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</si>
  <si>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</si>
  <si>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</si>
  <si>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</si>
  <si>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</si>
  <si>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</si>
  <si>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</si>
  <si>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</si>
  <si>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</si>
  <si>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</si>
  <si>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</si>
  <si>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</si>
  <si>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</si>
  <si>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</si>
  <si>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</si>
  <si>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</si>
  <si>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</si>
  <si>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</si>
  <si>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</si>
  <si>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</si>
  <si>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</si>
  <si>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</si>
  <si>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</si>
  <si>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</si>
  <si>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</si>
  <si>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</si>
  <si>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</si>
  <si>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</si>
  <si>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</si>
  <si>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</si>
  <si>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</si>
  <si>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</si>
  <si>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</si>
  <si>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</si>
  <si>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</si>
  <si>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</si>
  <si>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</si>
  <si>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</si>
  <si>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</si>
  <si>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</si>
  <si>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</si>
  <si>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</si>
  <si>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</si>
  <si>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</si>
  <si>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</si>
  <si>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</si>
  <si>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</si>
  <si>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</si>
  <si>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</si>
  <si>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</si>
  <si>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</si>
  <si>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</si>
  <si>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</si>
  <si>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</si>
  <si>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</si>
  <si>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</si>
  <si>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</si>
  <si>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</si>
  <si>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</si>
  <si>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</si>
  <si>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</si>
  <si>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</si>
  <si>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</si>
  <si>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</si>
  <si>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</si>
  <si>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</si>
  <si>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</si>
  <si>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</si>
  <si>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</si>
  <si>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</si>
  <si>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</si>
  <si>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</si>
  <si>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</si>
  <si>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</si>
  <si>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</si>
  <si>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</si>
  <si>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</si>
  <si>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</si>
  <si>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</si>
  <si>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</si>
  <si>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</si>
  <si>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</si>
  <si>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</si>
  <si>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</si>
  <si>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</si>
  <si>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</si>
  <si>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</si>
  <si>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</si>
  <si>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</si>
  <si>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</si>
  <si>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</si>
  <si>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</si>
  <si>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</si>
  <si>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</si>
  <si>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</si>
  <si>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</si>
  <si>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</si>
  <si>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</si>
  <si>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</si>
  <si>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</si>
  <si>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</si>
  <si>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</si>
  <si>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</si>
  <si>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</si>
  <si>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</si>
  <si>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</si>
  <si>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</si>
  <si>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</si>
  <si>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</si>
  <si>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</si>
  <si>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</si>
  <si>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</si>
  <si>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</si>
  <si>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</si>
  <si>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</si>
  <si>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</si>
  <si>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</si>
  <si>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</si>
  <si>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</si>
  <si>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</si>
  <si>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</si>
  <si>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</si>
  <si>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</si>
  <si>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</si>
  <si>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</si>
  <si>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</si>
  <si>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</si>
  <si>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</si>
  <si>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</si>
  <si>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</si>
  <si>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</si>
  <si>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</si>
  <si>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</si>
  <si>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</si>
  <si>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</si>
  <si>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</si>
  <si>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</si>
  <si>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</si>
  <si>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</si>
  <si>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</si>
  <si>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</si>
  <si>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</si>
  <si>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</si>
  <si>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</si>
  <si>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</si>
  <si>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</si>
  <si>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</si>
  <si>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</si>
  <si>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</si>
  <si>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</si>
  <si>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</si>
  <si>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</si>
  <si>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</si>
  <si>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</si>
  <si>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</si>
  <si>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</si>
  <si>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</si>
  <si>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</si>
  <si>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</si>
  <si>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</si>
  <si>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</si>
  <si>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</si>
  <si>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</si>
  <si>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</si>
  <si>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</si>
  <si>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</si>
  <si>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</si>
  <si>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</si>
  <si>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</si>
  <si>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</si>
  <si>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</si>
  <si>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</si>
  <si>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</si>
  <si>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</si>
  <si>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</si>
  <si>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</si>
  <si>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</si>
  <si>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</si>
  <si>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</si>
  <si>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</si>
  <si>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</si>
  <si>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</si>
  <si>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</si>
  <si>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</si>
  <si>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</si>
  <si>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</si>
  <si>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</si>
  <si>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</si>
  <si>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</si>
  <si>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</si>
  <si>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</si>
  <si>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</si>
  <si>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</si>
  <si>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</si>
  <si>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</si>
  <si>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</si>
  <si>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</si>
  <si>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</si>
  <si>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</si>
  <si>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</si>
  <si>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</si>
  <si>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</si>
  <si>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</si>
  <si>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</si>
  <si>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</si>
  <si>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</si>
  <si>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</si>
  <si>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</si>
  <si>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</si>
  <si>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</si>
  <si>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</si>
  <si>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</si>
  <si>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</si>
  <si>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</si>
  <si>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</si>
  <si>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</si>
  <si>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</si>
  <si>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</si>
  <si>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</si>
  <si>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</si>
  <si>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</si>
  <si>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</si>
  <si>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</si>
  <si>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</si>
  <si>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</si>
  <si>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</si>
  <si>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</si>
  <si>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</si>
  <si>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</si>
  <si>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</si>
  <si>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</si>
  <si>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</si>
  <si>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</si>
  <si>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</si>
  <si>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</si>
  <si>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</si>
  <si>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</si>
  <si>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</si>
  <si>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</si>
  <si>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</si>
  <si>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</si>
  <si>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</si>
  <si>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</si>
  <si>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</si>
  <si>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</si>
  <si>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</si>
  <si>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</si>
  <si>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</si>
  <si>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</si>
  <si>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</si>
  <si>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</si>
  <si>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</si>
  <si>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</si>
  <si>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</si>
  <si>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</si>
  <si>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</si>
  <si>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</si>
  <si>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</si>
  <si>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</si>
  <si>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</si>
  <si>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</si>
  <si>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</si>
  <si>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</si>
  <si>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</si>
  <si>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</si>
  <si>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</si>
  <si>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</si>
  <si>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</si>
  <si>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</si>
  <si>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</si>
  <si>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</si>
  <si>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</si>
  <si>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</si>
  <si>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</si>
  <si>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</si>
  <si>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</si>
  <si>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</si>
  <si>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</si>
  <si>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</si>
  <si>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</si>
  <si>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</si>
  <si>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</si>
  <si>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</si>
  <si>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</si>
  <si>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</si>
  <si>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</si>
  <si>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</si>
  <si>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</si>
  <si>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</si>
  <si>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</si>
  <si>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</si>
  <si>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</si>
  <si>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</si>
  <si>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</si>
  <si>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</si>
  <si>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</si>
  <si>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</si>
  <si>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</si>
  <si>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</si>
  <si>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</si>
  <si>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</si>
  <si>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</si>
  <si>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</si>
  <si>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</si>
  <si>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</si>
  <si>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</si>
  <si>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</si>
  <si>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</si>
  <si>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</si>
  <si>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</si>
  <si>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</si>
  <si>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</si>
  <si>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</si>
  <si>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</si>
  <si>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</si>
  <si>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</si>
  <si>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</si>
  <si>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</si>
  <si>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</si>
  <si>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</si>
  <si>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</si>
  <si>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</si>
  <si>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</si>
  <si>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</si>
  <si>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</si>
  <si>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</si>
  <si>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</si>
  <si>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</si>
  <si>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</si>
  <si>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</si>
  <si>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</si>
  <si>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</si>
  <si>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</si>
  <si>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</si>
  <si>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</si>
  <si>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</si>
  <si>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</si>
  <si>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</si>
  <si>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</si>
  <si>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</si>
  <si>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</si>
  <si>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</si>
  <si>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</si>
  <si>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</si>
  <si>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</si>
  <si>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</si>
  <si>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</si>
  <si>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</si>
  <si>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</si>
  <si>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</si>
  <si>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</si>
  <si>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</si>
  <si>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</si>
  <si>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</si>
  <si>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</si>
  <si>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</si>
  <si>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</si>
  <si>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</si>
  <si>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</si>
  <si>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</si>
  <si>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</si>
  <si>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</si>
  <si>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</si>
  <si>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</si>
  <si>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</si>
  <si>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</si>
  <si>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</si>
  <si>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</si>
  <si>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</si>
  <si>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</si>
  <si>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</si>
  <si>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</si>
  <si>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</si>
  <si>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</si>
  <si>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</si>
  <si>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</si>
  <si>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</si>
  <si>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</si>
  <si>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</si>
  <si>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</si>
  <si>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</si>
  <si>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</si>
  <si>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</si>
  <si>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</si>
  <si>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</si>
  <si>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</si>
  <si>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</si>
  <si>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</si>
  <si>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</si>
  <si>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</si>
  <si>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</si>
  <si>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</si>
  <si>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</si>
  <si>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</si>
  <si>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</si>
  <si>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</si>
  <si>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</si>
  <si>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</si>
  <si>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</si>
  <si>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</si>
  <si>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</si>
  <si>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</si>
  <si>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</si>
  <si>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</si>
  <si>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</si>
  <si>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</si>
  <si>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</si>
  <si>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</si>
  <si>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</si>
  <si>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</si>
  <si>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</si>
  <si>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</si>
  <si>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</si>
  <si>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</si>
  <si>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</si>
  <si>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</si>
  <si>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</si>
  <si>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</si>
  <si>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</si>
  <si>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</si>
  <si>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</si>
  <si>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</si>
  <si>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</si>
  <si>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</si>
  <si>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</si>
  <si>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</si>
  <si>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</si>
  <si>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</si>
  <si>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</si>
  <si>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</si>
  <si>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</si>
  <si>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</si>
  <si>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</si>
  <si>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</si>
  <si>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</si>
  <si>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</si>
  <si>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</si>
  <si>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</si>
  <si>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</si>
  <si>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</si>
  <si>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</si>
  <si>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</si>
  <si>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</si>
  <si>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</si>
  <si>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</si>
  <si>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</si>
  <si>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</si>
  <si>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</si>
  <si>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</si>
  <si>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</si>
  <si>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</si>
  <si>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</si>
  <si>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</si>
  <si>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</si>
  <si>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</si>
  <si>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</si>
  <si>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</si>
  <si>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</si>
  <si>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</si>
  <si>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</si>
  <si>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</si>
  <si>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</si>
  <si>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</si>
  <si>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</si>
  <si>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</si>
  <si>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</si>
  <si>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</si>
  <si>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</si>
  <si>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</si>
  <si>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</si>
  <si>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</si>
  <si>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</si>
  <si>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</si>
  <si>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</si>
  <si>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</si>
  <si>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</si>
  <si>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</si>
  <si>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</si>
  <si>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</si>
  <si>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</si>
  <si>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</si>
  <si>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</si>
  <si>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</si>
  <si>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</si>
  <si>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</si>
  <si>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</si>
  <si>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</si>
  <si>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</si>
  <si>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</si>
  <si>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</si>
  <si>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</si>
  <si>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</si>
  <si>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</si>
  <si>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</si>
  <si>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</si>
  <si>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</si>
  <si>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</si>
  <si>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</si>
  <si>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</si>
  <si>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</si>
  <si>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</si>
  <si>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</si>
  <si>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</si>
  <si>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</si>
  <si>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</si>
  <si>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</si>
  <si>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</si>
  <si>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</si>
  <si>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</si>
  <si>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</si>
  <si>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</si>
  <si>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</si>
  <si>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</si>
  <si>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</si>
  <si>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</si>
  <si>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</si>
  <si>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</si>
  <si>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</si>
  <si>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</si>
  <si>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</si>
  <si>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</si>
  <si>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</si>
  <si>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</si>
  <si>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</si>
  <si>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</si>
  <si>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</si>
  <si>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</si>
  <si>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</si>
  <si>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</si>
  <si>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</si>
  <si>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</si>
  <si>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</si>
  <si>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</si>
  <si>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</si>
  <si>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</si>
  <si>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</si>
  <si>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</si>
  <si>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</si>
  <si>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</si>
  <si>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</si>
  <si>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</si>
  <si>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</si>
  <si>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</si>
  <si>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</si>
  <si>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</si>
  <si>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</si>
  <si>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</si>
  <si>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</si>
  <si>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</si>
  <si>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</si>
  <si>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</si>
  <si>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</si>
  <si>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</si>
  <si>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</si>
  <si>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</si>
  <si>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</si>
  <si>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</si>
  <si>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</si>
  <si>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</si>
  <si>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</si>
  <si>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</si>
  <si>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</si>
  <si>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</si>
  <si>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</si>
  <si>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</si>
  <si>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</si>
  <si>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</si>
  <si>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</si>
  <si>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</si>
  <si>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</si>
  <si>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</si>
  <si>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</si>
  <si>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</si>
  <si>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</si>
  <si>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</si>
  <si>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</si>
  <si>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</si>
  <si>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</si>
  <si>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</si>
  <si>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</si>
  <si>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</si>
  <si>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</si>
  <si>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</si>
  <si>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</si>
  <si>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</si>
  <si>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</si>
  <si>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</si>
  <si>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</si>
  <si>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</si>
  <si>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</si>
  <si>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</si>
  <si>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</si>
  <si>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</si>
  <si>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</si>
  <si>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</si>
  <si>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</si>
  <si>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</si>
  <si>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</si>
  <si>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</si>
  <si>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</si>
  <si>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</si>
  <si>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</si>
  <si>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</si>
  <si>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</si>
  <si>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</si>
  <si>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</si>
  <si>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</si>
  <si>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</si>
  <si>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</si>
  <si>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</si>
  <si>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</si>
  <si>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</si>
  <si>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</si>
  <si>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</si>
  <si>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</si>
  <si>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</si>
  <si>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</si>
  <si>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</si>
  <si>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</si>
  <si>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</si>
  <si>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</si>
  <si>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</si>
  <si>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</si>
  <si>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</si>
  <si>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</si>
  <si>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</si>
  <si>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</si>
  <si>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</si>
  <si>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</si>
  <si>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</si>
  <si>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</si>
  <si>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</si>
  <si>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</si>
  <si>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</si>
  <si>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</si>
  <si>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</si>
  <si>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</si>
  <si>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</si>
  <si>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</si>
  <si>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</si>
  <si>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</si>
  <si>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</si>
  <si>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</si>
  <si>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</si>
  <si>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</si>
  <si>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</si>
  <si>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</si>
  <si>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</si>
  <si>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</si>
  <si>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</si>
  <si>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</si>
  <si>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</si>
  <si>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</si>
  <si>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</si>
  <si>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</si>
  <si>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</si>
  <si>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</si>
  <si>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</si>
  <si>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</si>
  <si>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</si>
  <si>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</si>
  <si>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</si>
  <si>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</si>
  <si>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</si>
  <si>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</si>
  <si>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</si>
  <si>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</si>
  <si>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</si>
  <si>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</si>
  <si>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</si>
  <si>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</si>
  <si>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</si>
  <si>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</si>
  <si>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</si>
  <si>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</si>
  <si>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</si>
  <si>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</si>
  <si>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</si>
  <si>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</si>
  <si>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</si>
  <si>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</si>
  <si>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</si>
  <si>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</si>
  <si>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</si>
  <si>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</si>
  <si>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</si>
  <si>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</si>
  <si>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</si>
  <si>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</si>
  <si>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</si>
  <si>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</si>
  <si>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</si>
  <si>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</si>
  <si>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</si>
  <si>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</si>
  <si>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</si>
  <si>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</si>
  <si>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</si>
  <si>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</si>
  <si>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</si>
  <si>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</si>
  <si>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</si>
  <si>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</si>
  <si>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</si>
  <si>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</si>
  <si>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</si>
  <si>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</si>
  <si>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</si>
  <si>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</si>
  <si>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</si>
  <si>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</si>
  <si>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</si>
  <si>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</si>
  <si>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</si>
  <si>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</si>
  <si>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</si>
  <si>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</si>
  <si>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</si>
  <si>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</si>
  <si>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</si>
  <si>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</si>
  <si>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</si>
  <si>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</si>
  <si>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</si>
  <si>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</si>
  <si>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</si>
  <si>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</si>
  <si>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</si>
  <si>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</si>
  <si>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</si>
  <si>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</si>
  <si>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</si>
  <si>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</si>
  <si>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</si>
  <si>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</si>
  <si>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</si>
  <si>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</si>
  <si>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</si>
  <si>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</si>
  <si>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</si>
  <si>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</si>
  <si>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</si>
  <si>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</si>
  <si>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</si>
  <si>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</si>
  <si>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</si>
  <si>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</si>
  <si>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</si>
  <si>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</si>
  <si>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</si>
  <si>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</si>
  <si>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</si>
  <si>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</si>
  <si>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</si>
  <si>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</si>
  <si>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</si>
  <si>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</si>
  <si>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</si>
  <si>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</si>
  <si>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</si>
  <si>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</si>
  <si>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</si>
  <si>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</si>
  <si>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</si>
  <si>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</si>
  <si>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</si>
  <si>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</si>
  <si>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</si>
  <si>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</si>
  <si>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</si>
  <si>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</si>
  <si>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</si>
  <si>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</si>
  <si>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</si>
  <si>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35005</t>
  </si>
  <si>
    <t>GISTEL</t>
  </si>
  <si>
    <t>referentietaak LNE (2017); Jaarverslag De Lijn</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</si>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</sst>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97343.492035771385</c:v>
                </c:pt>
                <c:pt idx="1">
                  <c:v>28811.696636963265</c:v>
                </c:pt>
                <c:pt idx="2">
                  <c:v>927.38</c:v>
                </c:pt>
                <c:pt idx="3">
                  <c:v>13538.343817098539</c:v>
                </c:pt>
                <c:pt idx="4">
                  <c:v>17411.483630021776</c:v>
                </c:pt>
                <c:pt idx="5">
                  <c:v>190100.26192392904</c:v>
                </c:pt>
                <c:pt idx="6">
                  <c:v>1372.0187177539285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97343.492035771385</c:v>
                </c:pt>
                <c:pt idx="1">
                  <c:v>28811.696636963265</c:v>
                </c:pt>
                <c:pt idx="2">
                  <c:v>927.38</c:v>
                </c:pt>
                <c:pt idx="3">
                  <c:v>13538.343817098539</c:v>
                </c:pt>
                <c:pt idx="4">
                  <c:v>17411.483630021776</c:v>
                </c:pt>
                <c:pt idx="5">
                  <c:v>190100.26192392904</c:v>
                </c:pt>
                <c:pt idx="6">
                  <c:v>1372.0187177539285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16410.152132858842</c:v>
                </c:pt>
                <c:pt idx="1">
                  <c:v>3977.6443735613743</c:v>
                </c:pt>
                <c:pt idx="2">
                  <c:v>47.131116018400085</c:v>
                </c:pt>
                <c:pt idx="3">
                  <c:v>3050.6393591076048</c:v>
                </c:pt>
                <c:pt idx="4">
                  <c:v>2898.2165164835619</c:v>
                </c:pt>
                <c:pt idx="5">
                  <c:v>47462.432010588956</c:v>
                </c:pt>
                <c:pt idx="6">
                  <c:v>343.14584796448099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16410.152132858842</c:v>
                </c:pt>
                <c:pt idx="1">
                  <c:v>3977.6443735613743</c:v>
                </c:pt>
                <c:pt idx="2">
                  <c:v>47.131116018400085</c:v>
                </c:pt>
                <c:pt idx="3">
                  <c:v>3050.6393591076048</c:v>
                </c:pt>
                <c:pt idx="4">
                  <c:v>2898.2165164835619</c:v>
                </c:pt>
                <c:pt idx="5">
                  <c:v>47462.432010588956</c:v>
                </c:pt>
                <c:pt idx="6">
                  <c:v>343.14584796448099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35005</v>
      </c>
      <c r="B6" s="386"/>
      <c r="C6" s="387"/>
    </row>
    <row r="7" spans="1:7" s="384" customFormat="1" ht="15.75" customHeight="1">
      <c r="A7" s="388" t="str">
        <f>txtMunicipality</f>
        <v>GISTEL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11919.480689999999</v>
      </c>
      <c r="D10" s="681">
        <f ca="1">tertiair!C16</f>
        <v>1221.4285714285716</v>
      </c>
      <c r="E10" s="681">
        <f ca="1">tertiair!D16</f>
        <v>15224.923472572</v>
      </c>
      <c r="F10" s="681">
        <f>tertiair!E16</f>
        <v>161.10287913995603</v>
      </c>
      <c r="G10" s="681">
        <f ca="1">tertiair!F16</f>
        <v>1149.7771665432747</v>
      </c>
      <c r="H10" s="681">
        <f>tertiair!G16</f>
        <v>0</v>
      </c>
      <c r="I10" s="681">
        <f>tertiair!H16</f>
        <v>0</v>
      </c>
      <c r="J10" s="681">
        <f>tertiair!I16</f>
        <v>0</v>
      </c>
      <c r="K10" s="681">
        <f>tertiair!J16</f>
        <v>3.0197441283562682E-2</v>
      </c>
      <c r="L10" s="681">
        <f>tertiair!K16</f>
        <v>0</v>
      </c>
      <c r="M10" s="681">
        <f ca="1">tertiair!L16</f>
        <v>0</v>
      </c>
      <c r="N10" s="681">
        <f>tertiair!M16</f>
        <v>0</v>
      </c>
      <c r="O10" s="681">
        <f ca="1">tertiair!N16</f>
        <v>0</v>
      </c>
      <c r="P10" s="681">
        <f>tertiair!O16</f>
        <v>9.7945215316823084</v>
      </c>
      <c r="Q10" s="682">
        <f>tertiair!P16</f>
        <v>52.539138306495019</v>
      </c>
      <c r="R10" s="684">
        <f ca="1">SUM(C10:Q10)</f>
        <v>29739.076636963262</v>
      </c>
      <c r="S10" s="67"/>
    </row>
    <row r="11" spans="1:19" s="444" customFormat="1">
      <c r="A11" s="802" t="s">
        <v>219</v>
      </c>
      <c r="B11" s="807"/>
      <c r="C11" s="681">
        <f>huishoudens!B8</f>
        <v>20482.703446466319</v>
      </c>
      <c r="D11" s="681">
        <f>huishoudens!C8</f>
        <v>0</v>
      </c>
      <c r="E11" s="681">
        <f>huishoudens!D8</f>
        <v>47616.940258800001</v>
      </c>
      <c r="F11" s="681">
        <f>huishoudens!E8</f>
        <v>1262.6957346644658</v>
      </c>
      <c r="G11" s="681">
        <f>huishoudens!F8</f>
        <v>20356.338171665149</v>
      </c>
      <c r="H11" s="681">
        <f>huishoudens!G8</f>
        <v>0</v>
      </c>
      <c r="I11" s="681">
        <f>huishoudens!H8</f>
        <v>0</v>
      </c>
      <c r="J11" s="681">
        <f>huishoudens!I8</f>
        <v>0</v>
      </c>
      <c r="K11" s="681">
        <f>huishoudens!J8</f>
        <v>81.322673522367438</v>
      </c>
      <c r="L11" s="681">
        <f>huishoudens!K8</f>
        <v>0</v>
      </c>
      <c r="M11" s="681">
        <f>huishoudens!L8</f>
        <v>0</v>
      </c>
      <c r="N11" s="681">
        <f>huishoudens!M8</f>
        <v>0</v>
      </c>
      <c r="O11" s="681">
        <f>huishoudens!N8</f>
        <v>6713.296531564798</v>
      </c>
      <c r="P11" s="681">
        <f>huishoudens!O8</f>
        <v>440.43872470392103</v>
      </c>
      <c r="Q11" s="682">
        <f>huishoudens!P8</f>
        <v>389.75649438434584</v>
      </c>
      <c r="R11" s="684">
        <f>SUM(C11:Q11)</f>
        <v>97343.492035771385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4802.6745959999989</v>
      </c>
      <c r="D13" s="681">
        <f>industrie!C18</f>
        <v>0</v>
      </c>
      <c r="E13" s="681">
        <f>industrie!D18</f>
        <v>8700.8026627719992</v>
      </c>
      <c r="F13" s="681">
        <f>industrie!E18</f>
        <v>795.44875551595214</v>
      </c>
      <c r="G13" s="681">
        <f>industrie!F18</f>
        <v>2653.0106481353464</v>
      </c>
      <c r="H13" s="681">
        <f>industrie!G18</f>
        <v>0</v>
      </c>
      <c r="I13" s="681">
        <f>industrie!H18</f>
        <v>0</v>
      </c>
      <c r="J13" s="681">
        <f>industrie!I18</f>
        <v>0</v>
      </c>
      <c r="K13" s="681">
        <f>industrie!J18</f>
        <v>21.61899848621611</v>
      </c>
      <c r="L13" s="681">
        <f>industrie!K18</f>
        <v>0</v>
      </c>
      <c r="M13" s="681">
        <f>industrie!L18</f>
        <v>0</v>
      </c>
      <c r="N13" s="681">
        <f>industrie!M18</f>
        <v>0</v>
      </c>
      <c r="O13" s="681">
        <f>industrie!N18</f>
        <v>437.92796911226117</v>
      </c>
      <c r="P13" s="681">
        <f>industrie!O18</f>
        <v>0</v>
      </c>
      <c r="Q13" s="682">
        <f>industrie!P18</f>
        <v>0</v>
      </c>
      <c r="R13" s="684">
        <f>SUM(C13:Q13)</f>
        <v>17411.483630021776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37204.858732466317</v>
      </c>
      <c r="D16" s="717">
        <f t="shared" ref="D16:R16" ca="1" si="0">SUM(D9:D15)</f>
        <v>1221.4285714285716</v>
      </c>
      <c r="E16" s="717">
        <f t="shared" ca="1" si="0"/>
        <v>71542.666394144006</v>
      </c>
      <c r="F16" s="717">
        <f t="shared" si="0"/>
        <v>2219.2473693203738</v>
      </c>
      <c r="G16" s="717">
        <f t="shared" ca="1" si="0"/>
        <v>24159.12598634377</v>
      </c>
      <c r="H16" s="717">
        <f t="shared" si="0"/>
        <v>0</v>
      </c>
      <c r="I16" s="717">
        <f t="shared" si="0"/>
        <v>0</v>
      </c>
      <c r="J16" s="717">
        <f t="shared" si="0"/>
        <v>0</v>
      </c>
      <c r="K16" s="717">
        <f t="shared" si="0"/>
        <v>102.97186944986711</v>
      </c>
      <c r="L16" s="717">
        <f t="shared" si="0"/>
        <v>0</v>
      </c>
      <c r="M16" s="717">
        <f t="shared" ca="1" si="0"/>
        <v>0</v>
      </c>
      <c r="N16" s="717">
        <f t="shared" si="0"/>
        <v>0</v>
      </c>
      <c r="O16" s="717">
        <f t="shared" ca="1" si="0"/>
        <v>7151.224500677059</v>
      </c>
      <c r="P16" s="717">
        <f t="shared" si="0"/>
        <v>450.23324623560336</v>
      </c>
      <c r="Q16" s="717">
        <f t="shared" si="0"/>
        <v>442.29563269084088</v>
      </c>
      <c r="R16" s="717">
        <f t="shared" ca="1" si="0"/>
        <v>144494.05230275643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17.692149127413501</v>
      </c>
      <c r="D19" s="681">
        <f>transport!C54</f>
        <v>0</v>
      </c>
      <c r="E19" s="681">
        <f>transport!D54</f>
        <v>0</v>
      </c>
      <c r="F19" s="681">
        <f>transport!E54</f>
        <v>0</v>
      </c>
      <c r="G19" s="681">
        <f>transport!F54</f>
        <v>0</v>
      </c>
      <c r="H19" s="681">
        <f>transport!G54</f>
        <v>1281.8228509092928</v>
      </c>
      <c r="I19" s="681">
        <f>transport!H54</f>
        <v>0</v>
      </c>
      <c r="J19" s="681">
        <f>transport!I54</f>
        <v>0</v>
      </c>
      <c r="K19" s="681">
        <f>transport!J54</f>
        <v>0</v>
      </c>
      <c r="L19" s="681">
        <f>transport!K54</f>
        <v>0</v>
      </c>
      <c r="M19" s="681">
        <f>transport!L54</f>
        <v>0</v>
      </c>
      <c r="N19" s="681">
        <f>transport!M54</f>
        <v>72.503717717222045</v>
      </c>
      <c r="O19" s="681">
        <f>transport!N54</f>
        <v>0</v>
      </c>
      <c r="P19" s="681">
        <f>transport!O54</f>
        <v>0</v>
      </c>
      <c r="Q19" s="682">
        <f>transport!P54</f>
        <v>0</v>
      </c>
      <c r="R19" s="684">
        <f>SUM(C19:Q19)</f>
        <v>1372.0187177539285</v>
      </c>
      <c r="S19" s="67"/>
    </row>
    <row r="20" spans="1:19" s="444" customFormat="1">
      <c r="A20" s="802" t="s">
        <v>301</v>
      </c>
      <c r="B20" s="807"/>
      <c r="C20" s="681">
        <f>transport!B14</f>
        <v>173.33733766853322</v>
      </c>
      <c r="D20" s="681">
        <f>transport!C14</f>
        <v>0</v>
      </c>
      <c r="E20" s="681">
        <f>transport!D14</f>
        <v>256.46770679005289</v>
      </c>
      <c r="F20" s="681">
        <f>transport!E14</f>
        <v>254.21125011722955</v>
      </c>
      <c r="G20" s="681">
        <f>transport!F14</f>
        <v>0</v>
      </c>
      <c r="H20" s="681">
        <f>transport!G14</f>
        <v>155407.9727997297</v>
      </c>
      <c r="I20" s="681">
        <f>transport!H14</f>
        <v>23494.704931384884</v>
      </c>
      <c r="J20" s="681">
        <f>transport!I14</f>
        <v>0</v>
      </c>
      <c r="K20" s="681">
        <f>transport!J14</f>
        <v>0</v>
      </c>
      <c r="L20" s="681">
        <f>transport!K14</f>
        <v>0</v>
      </c>
      <c r="M20" s="681">
        <f>transport!L14</f>
        <v>0</v>
      </c>
      <c r="N20" s="681">
        <f>transport!M14</f>
        <v>10513.567898238633</v>
      </c>
      <c r="O20" s="681">
        <f>transport!N14</f>
        <v>0</v>
      </c>
      <c r="P20" s="681">
        <f>transport!O14</f>
        <v>0</v>
      </c>
      <c r="Q20" s="682">
        <f>transport!P14</f>
        <v>0</v>
      </c>
      <c r="R20" s="684">
        <f>SUM(C20:Q20)</f>
        <v>190100.26192392904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191.02948679594672</v>
      </c>
      <c r="D22" s="805">
        <f t="shared" ref="D22:R22" si="1">SUM(D18:D21)</f>
        <v>0</v>
      </c>
      <c r="E22" s="805">
        <f t="shared" si="1"/>
        <v>256.46770679005289</v>
      </c>
      <c r="F22" s="805">
        <f t="shared" si="1"/>
        <v>254.21125011722955</v>
      </c>
      <c r="G22" s="805">
        <f t="shared" si="1"/>
        <v>0</v>
      </c>
      <c r="H22" s="805">
        <f t="shared" si="1"/>
        <v>156689.79565063899</v>
      </c>
      <c r="I22" s="805">
        <f t="shared" si="1"/>
        <v>23494.704931384884</v>
      </c>
      <c r="J22" s="805">
        <f t="shared" si="1"/>
        <v>0</v>
      </c>
      <c r="K22" s="805">
        <f t="shared" si="1"/>
        <v>0</v>
      </c>
      <c r="L22" s="805">
        <f t="shared" si="1"/>
        <v>0</v>
      </c>
      <c r="M22" s="805">
        <f t="shared" si="1"/>
        <v>0</v>
      </c>
      <c r="N22" s="805">
        <f t="shared" si="1"/>
        <v>10586.071615955854</v>
      </c>
      <c r="O22" s="805">
        <f t="shared" si="1"/>
        <v>0</v>
      </c>
      <c r="P22" s="805">
        <f t="shared" si="1"/>
        <v>0</v>
      </c>
      <c r="Q22" s="805">
        <f t="shared" si="1"/>
        <v>0</v>
      </c>
      <c r="R22" s="805">
        <f t="shared" si="1"/>
        <v>191472.28064168297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2710.3968930000001</v>
      </c>
      <c r="D24" s="681">
        <f>+landbouw!C8</f>
        <v>62.357142857142847</v>
      </c>
      <c r="E24" s="681">
        <f>+landbouw!D8</f>
        <v>355.42317800000001</v>
      </c>
      <c r="F24" s="681">
        <f>+landbouw!E8</f>
        <v>84.590593251898298</v>
      </c>
      <c r="G24" s="681">
        <f>+landbouw!F8</f>
        <v>9578.8428695302755</v>
      </c>
      <c r="H24" s="681">
        <f>+landbouw!G8</f>
        <v>0</v>
      </c>
      <c r="I24" s="681">
        <f>+landbouw!H8</f>
        <v>0</v>
      </c>
      <c r="J24" s="681">
        <f>+landbouw!I8</f>
        <v>0</v>
      </c>
      <c r="K24" s="681">
        <f>+landbouw!J8</f>
        <v>746.73314045922234</v>
      </c>
      <c r="L24" s="681">
        <f>+landbouw!K8</f>
        <v>0</v>
      </c>
      <c r="M24" s="681">
        <f>+landbouw!L8</f>
        <v>0</v>
      </c>
      <c r="N24" s="681">
        <f>+landbouw!M8</f>
        <v>0</v>
      </c>
      <c r="O24" s="681">
        <f>+landbouw!N8</f>
        <v>0</v>
      </c>
      <c r="P24" s="681">
        <f>+landbouw!O8</f>
        <v>0</v>
      </c>
      <c r="Q24" s="682">
        <f>+landbouw!P8</f>
        <v>0</v>
      </c>
      <c r="R24" s="684">
        <f>SUM(C24:Q24)</f>
        <v>13538.343817098539</v>
      </c>
      <c r="S24" s="67"/>
    </row>
    <row r="25" spans="1:19" s="444" customFormat="1" ht="15" thickBot="1">
      <c r="A25" s="824" t="s">
        <v>714</v>
      </c>
      <c r="B25" s="943"/>
      <c r="C25" s="944">
        <f>IF(Onbekend_ele_kWh="---",0,Onbekend_ele_kWh)/1000+IF(REST_rest_ele_kWh="---",0,REST_rest_ele_kWh)/1000</f>
        <v>442.767</v>
      </c>
      <c r="D25" s="944"/>
      <c r="E25" s="944">
        <f>IF(onbekend_gas_kWh="---",0,onbekend_gas_kWh)/1000+IF(REST_rest_gas_kWh="---",0,REST_rest_gas_kWh)/1000</f>
        <v>831.12694999999997</v>
      </c>
      <c r="F25" s="944"/>
      <c r="G25" s="944"/>
      <c r="H25" s="944"/>
      <c r="I25" s="944"/>
      <c r="J25" s="944"/>
      <c r="K25" s="944"/>
      <c r="L25" s="944"/>
      <c r="M25" s="944"/>
      <c r="N25" s="944"/>
      <c r="O25" s="944"/>
      <c r="P25" s="944"/>
      <c r="Q25" s="945"/>
      <c r="R25" s="684">
        <f>SUM(C25:Q25)</f>
        <v>1273.8939499999999</v>
      </c>
      <c r="S25" s="67"/>
    </row>
    <row r="26" spans="1:19" s="444" customFormat="1" ht="15.75" thickBot="1">
      <c r="A26" s="689" t="s">
        <v>715</v>
      </c>
      <c r="B26" s="810"/>
      <c r="C26" s="805">
        <f>SUM(C24:C25)</f>
        <v>3153.1638929999999</v>
      </c>
      <c r="D26" s="805">
        <f t="shared" ref="D26:R26" si="2">SUM(D24:D25)</f>
        <v>62.357142857142847</v>
      </c>
      <c r="E26" s="805">
        <f t="shared" si="2"/>
        <v>1186.5501279999999</v>
      </c>
      <c r="F26" s="805">
        <f t="shared" si="2"/>
        <v>84.590593251898298</v>
      </c>
      <c r="G26" s="805">
        <f t="shared" si="2"/>
        <v>9578.8428695302755</v>
      </c>
      <c r="H26" s="805">
        <f t="shared" si="2"/>
        <v>0</v>
      </c>
      <c r="I26" s="805">
        <f t="shared" si="2"/>
        <v>0</v>
      </c>
      <c r="J26" s="805">
        <f t="shared" si="2"/>
        <v>0</v>
      </c>
      <c r="K26" s="805">
        <f t="shared" si="2"/>
        <v>746.73314045922234</v>
      </c>
      <c r="L26" s="805">
        <f t="shared" si="2"/>
        <v>0</v>
      </c>
      <c r="M26" s="805">
        <f t="shared" si="2"/>
        <v>0</v>
      </c>
      <c r="N26" s="805">
        <f t="shared" si="2"/>
        <v>0</v>
      </c>
      <c r="O26" s="805">
        <f t="shared" si="2"/>
        <v>0</v>
      </c>
      <c r="P26" s="805">
        <f t="shared" si="2"/>
        <v>0</v>
      </c>
      <c r="Q26" s="805">
        <f t="shared" si="2"/>
        <v>0</v>
      </c>
      <c r="R26" s="805">
        <f t="shared" si="2"/>
        <v>14812.237767098539</v>
      </c>
      <c r="S26" s="67"/>
    </row>
    <row r="27" spans="1:19" s="444" customFormat="1" ht="17.25" thickTop="1" thickBot="1">
      <c r="A27" s="690" t="s">
        <v>115</v>
      </c>
      <c r="B27" s="797"/>
      <c r="C27" s="691">
        <f ca="1">C22+C16+C26</f>
        <v>40549.052112262259</v>
      </c>
      <c r="D27" s="691">
        <f t="shared" ref="D27:R27" ca="1" si="3">D22+D16+D26</f>
        <v>1283.7857142857144</v>
      </c>
      <c r="E27" s="691">
        <f t="shared" ca="1" si="3"/>
        <v>72985.684228934057</v>
      </c>
      <c r="F27" s="691">
        <f t="shared" si="3"/>
        <v>2558.0492126895015</v>
      </c>
      <c r="G27" s="691">
        <f t="shared" ca="1" si="3"/>
        <v>33737.968855874045</v>
      </c>
      <c r="H27" s="691">
        <f t="shared" si="3"/>
        <v>156689.79565063899</v>
      </c>
      <c r="I27" s="691">
        <f t="shared" si="3"/>
        <v>23494.704931384884</v>
      </c>
      <c r="J27" s="691">
        <f t="shared" si="3"/>
        <v>0</v>
      </c>
      <c r="K27" s="691">
        <f t="shared" si="3"/>
        <v>849.70500990908943</v>
      </c>
      <c r="L27" s="691">
        <f t="shared" si="3"/>
        <v>0</v>
      </c>
      <c r="M27" s="691">
        <f t="shared" ca="1" si="3"/>
        <v>0</v>
      </c>
      <c r="N27" s="691">
        <f t="shared" si="3"/>
        <v>10586.071615955854</v>
      </c>
      <c r="O27" s="691">
        <f t="shared" ca="1" si="3"/>
        <v>7151.224500677059</v>
      </c>
      <c r="P27" s="691">
        <f t="shared" si="3"/>
        <v>450.23324623560336</v>
      </c>
      <c r="Q27" s="691">
        <f t="shared" si="3"/>
        <v>442.29563269084088</v>
      </c>
      <c r="R27" s="691">
        <f t="shared" ca="1" si="3"/>
        <v>350778.5707115379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605.76940119419169</v>
      </c>
      <c r="D40" s="681">
        <f ca="1">tertiair!C20</f>
        <v>0</v>
      </c>
      <c r="E40" s="681">
        <f ca="1">tertiair!D20</f>
        <v>3075.4345414595441</v>
      </c>
      <c r="F40" s="681">
        <f>tertiair!E20</f>
        <v>36.570353564770024</v>
      </c>
      <c r="G40" s="681">
        <f ca="1">tertiair!F20</f>
        <v>306.99050346705434</v>
      </c>
      <c r="H40" s="681">
        <f>tertiair!G20</f>
        <v>0</v>
      </c>
      <c r="I40" s="681">
        <f>tertiair!H20</f>
        <v>0</v>
      </c>
      <c r="J40" s="681">
        <f>tertiair!I20</f>
        <v>0</v>
      </c>
      <c r="K40" s="681">
        <f>tertiair!J20</f>
        <v>1.0689894214381188E-2</v>
      </c>
      <c r="L40" s="681">
        <f>tertiair!K20</f>
        <v>0</v>
      </c>
      <c r="M40" s="681">
        <f ca="1">tertiair!L20</f>
        <v>0</v>
      </c>
      <c r="N40" s="681">
        <f>tertiair!M20</f>
        <v>0</v>
      </c>
      <c r="O40" s="681">
        <f ca="1">tertiair!N20</f>
        <v>0</v>
      </c>
      <c r="P40" s="681">
        <f>tertiair!O20</f>
        <v>0</v>
      </c>
      <c r="Q40" s="764">
        <f>tertiair!P20</f>
        <v>0</v>
      </c>
      <c r="R40" s="843">
        <f t="shared" ca="1" si="4"/>
        <v>4024.7754895797743</v>
      </c>
    </row>
    <row r="41" spans="1:18">
      <c r="A41" s="815" t="s">
        <v>219</v>
      </c>
      <c r="B41" s="822"/>
      <c r="C41" s="681">
        <f ca="1">huishoudens!B12</f>
        <v>1040.9677505508932</v>
      </c>
      <c r="D41" s="681">
        <f ca="1">huishoudens!C12</f>
        <v>0</v>
      </c>
      <c r="E41" s="681">
        <f>huishoudens!D12</f>
        <v>9618.6219322776014</v>
      </c>
      <c r="F41" s="681">
        <f>huishoudens!E12</f>
        <v>286.63193176883374</v>
      </c>
      <c r="G41" s="681">
        <f>huishoudens!F12</f>
        <v>5435.1422918345952</v>
      </c>
      <c r="H41" s="681">
        <f>huishoudens!G12</f>
        <v>0</v>
      </c>
      <c r="I41" s="681">
        <f>huishoudens!H12</f>
        <v>0</v>
      </c>
      <c r="J41" s="681">
        <f>huishoudens!I12</f>
        <v>0</v>
      </c>
      <c r="K41" s="681">
        <f>huishoudens!J12</f>
        <v>28.788226426918072</v>
      </c>
      <c r="L41" s="681">
        <f>huishoudens!K12</f>
        <v>0</v>
      </c>
      <c r="M41" s="681">
        <f>huishoudens!L12</f>
        <v>0</v>
      </c>
      <c r="N41" s="681">
        <f>huishoudens!M12</f>
        <v>0</v>
      </c>
      <c r="O41" s="681">
        <f>huishoudens!N12</f>
        <v>0</v>
      </c>
      <c r="P41" s="681">
        <f>huishoudens!O12</f>
        <v>0</v>
      </c>
      <c r="Q41" s="764">
        <f>huishoudens!P12</f>
        <v>0</v>
      </c>
      <c r="R41" s="843">
        <f t="shared" ca="1" si="4"/>
        <v>16410.152132858842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244.08054258523876</v>
      </c>
      <c r="D43" s="681">
        <f ca="1">industrie!C22</f>
        <v>0</v>
      </c>
      <c r="E43" s="681">
        <f>industrie!D22</f>
        <v>1757.562137879944</v>
      </c>
      <c r="F43" s="681">
        <f>industrie!E22</f>
        <v>180.56686750212114</v>
      </c>
      <c r="G43" s="681">
        <f>industrie!F22</f>
        <v>708.35384305213756</v>
      </c>
      <c r="H43" s="681">
        <f>industrie!G22</f>
        <v>0</v>
      </c>
      <c r="I43" s="681">
        <f>industrie!H22</f>
        <v>0</v>
      </c>
      <c r="J43" s="681">
        <f>industrie!I22</f>
        <v>0</v>
      </c>
      <c r="K43" s="681">
        <f>industrie!J22</f>
        <v>7.6531254641205031</v>
      </c>
      <c r="L43" s="681">
        <f>industrie!K22</f>
        <v>0</v>
      </c>
      <c r="M43" s="681">
        <f>industrie!L22</f>
        <v>0</v>
      </c>
      <c r="N43" s="681">
        <f>industrie!M22</f>
        <v>0</v>
      </c>
      <c r="O43" s="681">
        <f>industrie!N22</f>
        <v>0</v>
      </c>
      <c r="P43" s="681">
        <f>industrie!O22</f>
        <v>0</v>
      </c>
      <c r="Q43" s="764">
        <f>industrie!P22</f>
        <v>0</v>
      </c>
      <c r="R43" s="842">
        <f t="shared" ca="1" si="4"/>
        <v>2898.2165164835619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1890.8176943303238</v>
      </c>
      <c r="D46" s="717">
        <f t="shared" ref="D46:Q46" ca="1" si="5">SUM(D39:D45)</f>
        <v>0</v>
      </c>
      <c r="E46" s="717">
        <f t="shared" ca="1" si="5"/>
        <v>14451.61861161709</v>
      </c>
      <c r="F46" s="717">
        <f t="shared" si="5"/>
        <v>503.76915283572487</v>
      </c>
      <c r="G46" s="717">
        <f t="shared" ca="1" si="5"/>
        <v>6450.4866383537874</v>
      </c>
      <c r="H46" s="717">
        <f t="shared" si="5"/>
        <v>0</v>
      </c>
      <c r="I46" s="717">
        <f t="shared" si="5"/>
        <v>0</v>
      </c>
      <c r="J46" s="717">
        <f t="shared" si="5"/>
        <v>0</v>
      </c>
      <c r="K46" s="717">
        <f t="shared" si="5"/>
        <v>36.452041785252959</v>
      </c>
      <c r="L46" s="717">
        <f t="shared" si="5"/>
        <v>0</v>
      </c>
      <c r="M46" s="717">
        <f t="shared" ca="1" si="5"/>
        <v>0</v>
      </c>
      <c r="N46" s="717">
        <f t="shared" si="5"/>
        <v>0</v>
      </c>
      <c r="O46" s="717">
        <f t="shared" ca="1" si="5"/>
        <v>0</v>
      </c>
      <c r="P46" s="717">
        <f t="shared" si="5"/>
        <v>0</v>
      </c>
      <c r="Q46" s="717">
        <f t="shared" si="5"/>
        <v>0</v>
      </c>
      <c r="R46" s="717">
        <f ca="1">SUM(R39:R45)</f>
        <v>23333.144138922176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0.89914677169980106</v>
      </c>
      <c r="D49" s="681">
        <f ca="1">transport!C58</f>
        <v>0</v>
      </c>
      <c r="E49" s="681">
        <f>transport!D58</f>
        <v>0</v>
      </c>
      <c r="F49" s="681">
        <f>transport!E58</f>
        <v>0</v>
      </c>
      <c r="G49" s="681">
        <f>transport!F58</f>
        <v>0</v>
      </c>
      <c r="H49" s="681">
        <f>transport!G58</f>
        <v>342.24670119278119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343.14584796448099</v>
      </c>
    </row>
    <row r="50" spans="1:18">
      <c r="A50" s="818" t="s">
        <v>301</v>
      </c>
      <c r="B50" s="828"/>
      <c r="C50" s="687">
        <f ca="1">transport!B18</f>
        <v>8.8093145980894896</v>
      </c>
      <c r="D50" s="687">
        <f>transport!C18</f>
        <v>0</v>
      </c>
      <c r="E50" s="687">
        <f>transport!D18</f>
        <v>51.806476771590688</v>
      </c>
      <c r="F50" s="687">
        <f>transport!E18</f>
        <v>57.705953776611111</v>
      </c>
      <c r="G50" s="687">
        <f>transport!F18</f>
        <v>0</v>
      </c>
      <c r="H50" s="687">
        <f>transport!G18</f>
        <v>41493.928737527829</v>
      </c>
      <c r="I50" s="687">
        <f>transport!H18</f>
        <v>5850.1815279148359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47462.432010588956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9.7084613697892905</v>
      </c>
      <c r="D52" s="717">
        <f t="shared" ref="D52:Q52" ca="1" si="6">SUM(D48:D51)</f>
        <v>0</v>
      </c>
      <c r="E52" s="717">
        <f t="shared" si="6"/>
        <v>51.806476771590688</v>
      </c>
      <c r="F52" s="717">
        <f t="shared" si="6"/>
        <v>57.705953776611111</v>
      </c>
      <c r="G52" s="717">
        <f t="shared" si="6"/>
        <v>0</v>
      </c>
      <c r="H52" s="717">
        <f t="shared" si="6"/>
        <v>41836.175438720609</v>
      </c>
      <c r="I52" s="717">
        <f t="shared" si="6"/>
        <v>5850.1815279148359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47805.577858553435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137.74723459627566</v>
      </c>
      <c r="D54" s="687">
        <f ca="1">+landbouw!C12</f>
        <v>0</v>
      </c>
      <c r="E54" s="687">
        <f>+landbouw!D12</f>
        <v>71.795481956000003</v>
      </c>
      <c r="F54" s="687">
        <f>+landbouw!E12</f>
        <v>19.202064668180913</v>
      </c>
      <c r="G54" s="687">
        <f>+landbouw!F12</f>
        <v>2557.5510461645836</v>
      </c>
      <c r="H54" s="687">
        <f>+landbouw!G12</f>
        <v>0</v>
      </c>
      <c r="I54" s="687">
        <f>+landbouw!H12</f>
        <v>0</v>
      </c>
      <c r="J54" s="687">
        <f>+landbouw!I12</f>
        <v>0</v>
      </c>
      <c r="K54" s="687">
        <f>+landbouw!J12</f>
        <v>264.34353172256471</v>
      </c>
      <c r="L54" s="687">
        <f>+landbouw!K12</f>
        <v>0</v>
      </c>
      <c r="M54" s="687">
        <f>+landbouw!L12</f>
        <v>0</v>
      </c>
      <c r="N54" s="687">
        <f>+landbouw!M12</f>
        <v>0</v>
      </c>
      <c r="O54" s="687">
        <f>+landbouw!N12</f>
        <v>0</v>
      </c>
      <c r="P54" s="687">
        <f>+landbouw!O12</f>
        <v>0</v>
      </c>
      <c r="Q54" s="688">
        <f>+landbouw!P12</f>
        <v>0</v>
      </c>
      <c r="R54" s="716">
        <f ca="1">SUM(C54:Q54)</f>
        <v>3050.6393591076048</v>
      </c>
    </row>
    <row r="55" spans="1:18" ht="15" thickBot="1">
      <c r="A55" s="818" t="s">
        <v>714</v>
      </c>
      <c r="B55" s="828"/>
      <c r="C55" s="687">
        <f ca="1">C25*'EF ele_warmte'!B12</f>
        <v>22.502213597574833</v>
      </c>
      <c r="D55" s="687"/>
      <c r="E55" s="687">
        <f>E25*EF_CO2_aardgas</f>
        <v>167.8876439</v>
      </c>
      <c r="F55" s="687"/>
      <c r="G55" s="687"/>
      <c r="H55" s="687"/>
      <c r="I55" s="687"/>
      <c r="J55" s="687"/>
      <c r="K55" s="687"/>
      <c r="L55" s="687"/>
      <c r="M55" s="687"/>
      <c r="N55" s="687"/>
      <c r="O55" s="687"/>
      <c r="P55" s="687"/>
      <c r="Q55" s="688"/>
      <c r="R55" s="716">
        <f ca="1">SUM(C55:Q55)</f>
        <v>190.38985749757484</v>
      </c>
    </row>
    <row r="56" spans="1:18" ht="15.75" thickBot="1">
      <c r="A56" s="816" t="s">
        <v>715</v>
      </c>
      <c r="B56" s="829"/>
      <c r="C56" s="717">
        <f ca="1">SUM(C54:C55)</f>
        <v>160.2494481938505</v>
      </c>
      <c r="D56" s="717">
        <f t="shared" ref="D56:Q56" ca="1" si="7">SUM(D54:D55)</f>
        <v>0</v>
      </c>
      <c r="E56" s="717">
        <f t="shared" si="7"/>
        <v>239.683125856</v>
      </c>
      <c r="F56" s="717">
        <f t="shared" si="7"/>
        <v>19.202064668180913</v>
      </c>
      <c r="G56" s="717">
        <f t="shared" si="7"/>
        <v>2557.5510461645836</v>
      </c>
      <c r="H56" s="717">
        <f t="shared" si="7"/>
        <v>0</v>
      </c>
      <c r="I56" s="717">
        <f t="shared" si="7"/>
        <v>0</v>
      </c>
      <c r="J56" s="717">
        <f t="shared" si="7"/>
        <v>0</v>
      </c>
      <c r="K56" s="717">
        <f t="shared" si="7"/>
        <v>264.34353172256471</v>
      </c>
      <c r="L56" s="717">
        <f t="shared" si="7"/>
        <v>0</v>
      </c>
      <c r="M56" s="717">
        <f t="shared" si="7"/>
        <v>0</v>
      </c>
      <c r="N56" s="717">
        <f t="shared" si="7"/>
        <v>0</v>
      </c>
      <c r="O56" s="717">
        <f t="shared" si="7"/>
        <v>0</v>
      </c>
      <c r="P56" s="717">
        <f t="shared" si="7"/>
        <v>0</v>
      </c>
      <c r="Q56" s="718">
        <f t="shared" si="7"/>
        <v>0</v>
      </c>
      <c r="R56" s="719">
        <f ca="1">SUM(R54:R55)</f>
        <v>3241.0292166051795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2060.7756038939638</v>
      </c>
      <c r="D61" s="725">
        <f t="shared" ref="D61:Q61" ca="1" si="8">D46+D52+D56</f>
        <v>0</v>
      </c>
      <c r="E61" s="725">
        <f t="shared" ca="1" si="8"/>
        <v>14743.108214244681</v>
      </c>
      <c r="F61" s="725">
        <f t="shared" si="8"/>
        <v>580.67717128051686</v>
      </c>
      <c r="G61" s="725">
        <f t="shared" ca="1" si="8"/>
        <v>9008.037684518371</v>
      </c>
      <c r="H61" s="725">
        <f t="shared" si="8"/>
        <v>41836.175438720609</v>
      </c>
      <c r="I61" s="725">
        <f t="shared" si="8"/>
        <v>5850.1815279148359</v>
      </c>
      <c r="J61" s="725">
        <f t="shared" si="8"/>
        <v>0</v>
      </c>
      <c r="K61" s="725">
        <f t="shared" si="8"/>
        <v>300.79557350781766</v>
      </c>
      <c r="L61" s="725">
        <f t="shared" si="8"/>
        <v>0</v>
      </c>
      <c r="M61" s="725">
        <f t="shared" ca="1" si="8"/>
        <v>0</v>
      </c>
      <c r="N61" s="725">
        <f t="shared" si="8"/>
        <v>0</v>
      </c>
      <c r="O61" s="725">
        <f t="shared" ca="1" si="8"/>
        <v>0</v>
      </c>
      <c r="P61" s="725">
        <f t="shared" si="8"/>
        <v>0</v>
      </c>
      <c r="Q61" s="725">
        <f t="shared" si="8"/>
        <v>0</v>
      </c>
      <c r="R61" s="725">
        <f ca="1">R46+R52+R56</f>
        <v>74379.751214080796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5.0821794753391381E-2</v>
      </c>
      <c r="D63" s="771">
        <f t="shared" ca="1" si="9"/>
        <v>0</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24410.562225830294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5510.063398223987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898.65</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1057.2352941176471</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405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1012.5</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31224.27562405428</v>
      </c>
      <c r="C78" s="743">
        <f>SUM(C72:C77)</f>
        <v>0</v>
      </c>
      <c r="D78" s="744">
        <f t="shared" ref="D78:H78" si="10">SUM(D76:D77)</f>
        <v>0</v>
      </c>
      <c r="E78" s="744">
        <f t="shared" si="10"/>
        <v>0</v>
      </c>
      <c r="F78" s="744">
        <f t="shared" si="10"/>
        <v>0</v>
      </c>
      <c r="G78" s="744">
        <f t="shared" si="10"/>
        <v>0</v>
      </c>
      <c r="H78" s="744">
        <f t="shared" si="10"/>
        <v>0</v>
      </c>
      <c r="I78" s="744">
        <f>SUM(I76:I77)</f>
        <v>1012.5</v>
      </c>
      <c r="J78" s="744">
        <f>SUM(J76:J77)</f>
        <v>1057.2352941176471</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1283.7857142857144</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1510.3361344537818</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1283.7857142857144</v>
      </c>
      <c r="C90" s="743">
        <f>SUM(C87:C89)</f>
        <v>0</v>
      </c>
      <c r="D90" s="743">
        <f t="shared" ref="D90:H90" si="12">SUM(D87:D89)</f>
        <v>0</v>
      </c>
      <c r="E90" s="743">
        <f t="shared" si="12"/>
        <v>0</v>
      </c>
      <c r="F90" s="743">
        <f t="shared" si="12"/>
        <v>0</v>
      </c>
      <c r="G90" s="743">
        <f t="shared" si="12"/>
        <v>0</v>
      </c>
      <c r="H90" s="743">
        <f t="shared" si="12"/>
        <v>0</v>
      </c>
      <c r="I90" s="743">
        <f>SUM(I87:I89)</f>
        <v>0</v>
      </c>
      <c r="J90" s="743">
        <f>SUM(J87:J89)</f>
        <v>1510.3361344537818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20482.703446466319</v>
      </c>
      <c r="C4" s="448">
        <f>huishoudens!C8</f>
        <v>0</v>
      </c>
      <c r="D4" s="448">
        <f>huishoudens!D8</f>
        <v>47616.940258800001</v>
      </c>
      <c r="E4" s="448">
        <f>huishoudens!E8</f>
        <v>1262.6957346644658</v>
      </c>
      <c r="F4" s="448">
        <f>huishoudens!F8</f>
        <v>20356.338171665149</v>
      </c>
      <c r="G4" s="448">
        <f>huishoudens!G8</f>
        <v>0</v>
      </c>
      <c r="H4" s="448">
        <f>huishoudens!H8</f>
        <v>0</v>
      </c>
      <c r="I4" s="448">
        <f>huishoudens!I8</f>
        <v>0</v>
      </c>
      <c r="J4" s="448">
        <f>huishoudens!J8</f>
        <v>81.322673522367438</v>
      </c>
      <c r="K4" s="448">
        <f>huishoudens!K8</f>
        <v>0</v>
      </c>
      <c r="L4" s="448">
        <f>huishoudens!L8</f>
        <v>0</v>
      </c>
      <c r="M4" s="448">
        <f>huishoudens!M8</f>
        <v>0</v>
      </c>
      <c r="N4" s="448">
        <f>huishoudens!N8</f>
        <v>6713.296531564798</v>
      </c>
      <c r="O4" s="448">
        <f>huishoudens!O8</f>
        <v>440.43872470392103</v>
      </c>
      <c r="P4" s="449">
        <f>huishoudens!P8</f>
        <v>389.75649438434584</v>
      </c>
      <c r="Q4" s="450">
        <f>SUM(B4:P4)</f>
        <v>97343.492035771385</v>
      </c>
    </row>
    <row r="5" spans="1:17">
      <c r="A5" s="447" t="s">
        <v>155</v>
      </c>
      <c r="B5" s="448">
        <f ca="1">tertiair!B16</f>
        <v>10992.100689999999</v>
      </c>
      <c r="C5" s="448">
        <f ca="1">tertiair!C16</f>
        <v>1221.4285714285716</v>
      </c>
      <c r="D5" s="448">
        <f ca="1">tertiair!D16</f>
        <v>15224.923472572</v>
      </c>
      <c r="E5" s="448">
        <f>tertiair!E16</f>
        <v>161.10287913995603</v>
      </c>
      <c r="F5" s="448">
        <f ca="1">tertiair!F16</f>
        <v>1149.7771665432747</v>
      </c>
      <c r="G5" s="448">
        <f>tertiair!G16</f>
        <v>0</v>
      </c>
      <c r="H5" s="448">
        <f>tertiair!H16</f>
        <v>0</v>
      </c>
      <c r="I5" s="448">
        <f>tertiair!I16</f>
        <v>0</v>
      </c>
      <c r="J5" s="448">
        <f>tertiair!J16</f>
        <v>3.0197441283562682E-2</v>
      </c>
      <c r="K5" s="448">
        <f>tertiair!K16</f>
        <v>0</v>
      </c>
      <c r="L5" s="448">
        <f ca="1">tertiair!L16</f>
        <v>0</v>
      </c>
      <c r="M5" s="448">
        <f>tertiair!M16</f>
        <v>0</v>
      </c>
      <c r="N5" s="448">
        <f ca="1">tertiair!N16</f>
        <v>0</v>
      </c>
      <c r="O5" s="448">
        <f>tertiair!O16</f>
        <v>9.7945215316823084</v>
      </c>
      <c r="P5" s="449">
        <f>tertiair!P16</f>
        <v>52.539138306495019</v>
      </c>
      <c r="Q5" s="447">
        <f t="shared" ref="Q5:Q14" ca="1" si="0">SUM(B5:P5)</f>
        <v>28811.696636963265</v>
      </c>
    </row>
    <row r="6" spans="1:17">
      <c r="A6" s="447" t="s">
        <v>193</v>
      </c>
      <c r="B6" s="448">
        <f>'openbare verlichting'!B8</f>
        <v>927.38</v>
      </c>
      <c r="C6" s="448"/>
      <c r="D6" s="448"/>
      <c r="E6" s="448"/>
      <c r="F6" s="448"/>
      <c r="G6" s="448"/>
      <c r="H6" s="448"/>
      <c r="I6" s="448"/>
      <c r="J6" s="448"/>
      <c r="K6" s="448"/>
      <c r="L6" s="448"/>
      <c r="M6" s="448"/>
      <c r="N6" s="448"/>
      <c r="O6" s="448"/>
      <c r="P6" s="449"/>
      <c r="Q6" s="447">
        <f t="shared" si="0"/>
        <v>927.38</v>
      </c>
    </row>
    <row r="7" spans="1:17">
      <c r="A7" s="447" t="s">
        <v>111</v>
      </c>
      <c r="B7" s="448">
        <f>landbouw!B8</f>
        <v>2710.3968930000001</v>
      </c>
      <c r="C7" s="448">
        <f>landbouw!C8</f>
        <v>62.357142857142847</v>
      </c>
      <c r="D7" s="448">
        <f>landbouw!D8</f>
        <v>355.42317800000001</v>
      </c>
      <c r="E7" s="448">
        <f>landbouw!E8</f>
        <v>84.590593251898298</v>
      </c>
      <c r="F7" s="448">
        <f>landbouw!F8</f>
        <v>9578.8428695302755</v>
      </c>
      <c r="G7" s="448">
        <f>landbouw!G8</f>
        <v>0</v>
      </c>
      <c r="H7" s="448">
        <f>landbouw!H8</f>
        <v>0</v>
      </c>
      <c r="I7" s="448">
        <f>landbouw!I8</f>
        <v>0</v>
      </c>
      <c r="J7" s="448">
        <f>landbouw!J8</f>
        <v>746.73314045922234</v>
      </c>
      <c r="K7" s="448">
        <f>landbouw!K8</f>
        <v>0</v>
      </c>
      <c r="L7" s="448">
        <f>landbouw!L8</f>
        <v>0</v>
      </c>
      <c r="M7" s="448">
        <f>landbouw!M8</f>
        <v>0</v>
      </c>
      <c r="N7" s="448">
        <f>landbouw!N8</f>
        <v>0</v>
      </c>
      <c r="O7" s="448">
        <f>landbouw!O8</f>
        <v>0</v>
      </c>
      <c r="P7" s="449">
        <f>landbouw!P8</f>
        <v>0</v>
      </c>
      <c r="Q7" s="447">
        <f t="shared" si="0"/>
        <v>13538.343817098539</v>
      </c>
    </row>
    <row r="8" spans="1:17">
      <c r="A8" s="447" t="s">
        <v>618</v>
      </c>
      <c r="B8" s="448">
        <f>industrie!B18</f>
        <v>4802.6745959999989</v>
      </c>
      <c r="C8" s="448">
        <f>industrie!C18</f>
        <v>0</v>
      </c>
      <c r="D8" s="448">
        <f>industrie!D18</f>
        <v>8700.8026627719992</v>
      </c>
      <c r="E8" s="448">
        <f>industrie!E18</f>
        <v>795.44875551595214</v>
      </c>
      <c r="F8" s="448">
        <f>industrie!F18</f>
        <v>2653.0106481353464</v>
      </c>
      <c r="G8" s="448">
        <f>industrie!G18</f>
        <v>0</v>
      </c>
      <c r="H8" s="448">
        <f>industrie!H18</f>
        <v>0</v>
      </c>
      <c r="I8" s="448">
        <f>industrie!I18</f>
        <v>0</v>
      </c>
      <c r="J8" s="448">
        <f>industrie!J18</f>
        <v>21.61899848621611</v>
      </c>
      <c r="K8" s="448">
        <f>industrie!K18</f>
        <v>0</v>
      </c>
      <c r="L8" s="448">
        <f>industrie!L18</f>
        <v>0</v>
      </c>
      <c r="M8" s="448">
        <f>industrie!M18</f>
        <v>0</v>
      </c>
      <c r="N8" s="448">
        <f>industrie!N18</f>
        <v>437.92796911226117</v>
      </c>
      <c r="O8" s="448">
        <f>industrie!O18</f>
        <v>0</v>
      </c>
      <c r="P8" s="449">
        <f>industrie!P18</f>
        <v>0</v>
      </c>
      <c r="Q8" s="447">
        <f t="shared" si="0"/>
        <v>17411.483630021776</v>
      </c>
    </row>
    <row r="9" spans="1:17" s="453" customFormat="1">
      <c r="A9" s="451" t="s">
        <v>544</v>
      </c>
      <c r="B9" s="452">
        <f>transport!B14</f>
        <v>173.33733766853322</v>
      </c>
      <c r="C9" s="452">
        <f>transport!C14</f>
        <v>0</v>
      </c>
      <c r="D9" s="452">
        <f>transport!D14</f>
        <v>256.46770679005289</v>
      </c>
      <c r="E9" s="452">
        <f>transport!E14</f>
        <v>254.21125011722955</v>
      </c>
      <c r="F9" s="452">
        <f>transport!F14</f>
        <v>0</v>
      </c>
      <c r="G9" s="452">
        <f>transport!G14</f>
        <v>155407.9727997297</v>
      </c>
      <c r="H9" s="452">
        <f>transport!H14</f>
        <v>23494.704931384884</v>
      </c>
      <c r="I9" s="452">
        <f>transport!I14</f>
        <v>0</v>
      </c>
      <c r="J9" s="452">
        <f>transport!J14</f>
        <v>0</v>
      </c>
      <c r="K9" s="452">
        <f>transport!K14</f>
        <v>0</v>
      </c>
      <c r="L9" s="452">
        <f>transport!L14</f>
        <v>0</v>
      </c>
      <c r="M9" s="452">
        <f>transport!M14</f>
        <v>10513.567898238633</v>
      </c>
      <c r="N9" s="452">
        <f>transport!N14</f>
        <v>0</v>
      </c>
      <c r="O9" s="452">
        <f>transport!O14</f>
        <v>0</v>
      </c>
      <c r="P9" s="452">
        <f>transport!P14</f>
        <v>0</v>
      </c>
      <c r="Q9" s="451">
        <f>SUM(B9:P9)</f>
        <v>190100.26192392904</v>
      </c>
    </row>
    <row r="10" spans="1:17">
      <c r="A10" s="447" t="s">
        <v>534</v>
      </c>
      <c r="B10" s="448">
        <f>transport!B54</f>
        <v>17.692149127413501</v>
      </c>
      <c r="C10" s="448">
        <f>transport!C54</f>
        <v>0</v>
      </c>
      <c r="D10" s="448">
        <f>transport!D54</f>
        <v>0</v>
      </c>
      <c r="E10" s="448">
        <f>transport!E54</f>
        <v>0</v>
      </c>
      <c r="F10" s="448">
        <f>transport!F54</f>
        <v>0</v>
      </c>
      <c r="G10" s="448">
        <f>transport!G54</f>
        <v>1281.8228509092928</v>
      </c>
      <c r="H10" s="448">
        <f>transport!H54</f>
        <v>0</v>
      </c>
      <c r="I10" s="448">
        <f>transport!I54</f>
        <v>0</v>
      </c>
      <c r="J10" s="448">
        <f>transport!J54</f>
        <v>0</v>
      </c>
      <c r="K10" s="448">
        <f>transport!K54</f>
        <v>0</v>
      </c>
      <c r="L10" s="448">
        <f>transport!L54</f>
        <v>0</v>
      </c>
      <c r="M10" s="448">
        <f>transport!M54</f>
        <v>72.503717717222045</v>
      </c>
      <c r="N10" s="448">
        <f>transport!N54</f>
        <v>0</v>
      </c>
      <c r="O10" s="448">
        <f>transport!O54</f>
        <v>0</v>
      </c>
      <c r="P10" s="449">
        <f>transport!P54</f>
        <v>0</v>
      </c>
      <c r="Q10" s="447">
        <f t="shared" si="0"/>
        <v>1372.0187177539285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442.767</v>
      </c>
      <c r="C14" s="455"/>
      <c r="D14" s="455">
        <f>'SEAP template'!E25</f>
        <v>831.12694999999997</v>
      </c>
      <c r="E14" s="455"/>
      <c r="F14" s="455"/>
      <c r="G14" s="455"/>
      <c r="H14" s="455"/>
      <c r="I14" s="455"/>
      <c r="J14" s="455"/>
      <c r="K14" s="455"/>
      <c r="L14" s="455"/>
      <c r="M14" s="455"/>
      <c r="N14" s="455"/>
      <c r="O14" s="455"/>
      <c r="P14" s="456"/>
      <c r="Q14" s="447">
        <f t="shared" si="0"/>
        <v>1273.8939499999999</v>
      </c>
    </row>
    <row r="15" spans="1:17" s="459" customFormat="1">
      <c r="A15" s="457" t="s">
        <v>538</v>
      </c>
      <c r="B15" s="458">
        <f ca="1">SUM(B4:B14)</f>
        <v>40549.052112262259</v>
      </c>
      <c r="C15" s="458">
        <f t="shared" ref="C15:Q15" ca="1" si="1">SUM(C4:C14)</f>
        <v>1283.7857142857144</v>
      </c>
      <c r="D15" s="458">
        <f t="shared" ca="1" si="1"/>
        <v>72985.684228934057</v>
      </c>
      <c r="E15" s="458">
        <f t="shared" si="1"/>
        <v>2558.0492126895019</v>
      </c>
      <c r="F15" s="458">
        <f t="shared" ca="1" si="1"/>
        <v>33737.968855874045</v>
      </c>
      <c r="G15" s="458">
        <f t="shared" si="1"/>
        <v>156689.79565063899</v>
      </c>
      <c r="H15" s="458">
        <f t="shared" si="1"/>
        <v>23494.704931384884</v>
      </c>
      <c r="I15" s="458">
        <f t="shared" si="1"/>
        <v>0</v>
      </c>
      <c r="J15" s="458">
        <f t="shared" si="1"/>
        <v>849.70500990908943</v>
      </c>
      <c r="K15" s="458">
        <f t="shared" si="1"/>
        <v>0</v>
      </c>
      <c r="L15" s="458">
        <f t="shared" ca="1" si="1"/>
        <v>0</v>
      </c>
      <c r="M15" s="458">
        <f t="shared" si="1"/>
        <v>10586.071615955854</v>
      </c>
      <c r="N15" s="458">
        <f t="shared" ca="1" si="1"/>
        <v>7151.224500677059</v>
      </c>
      <c r="O15" s="458">
        <f t="shared" si="1"/>
        <v>450.23324623560336</v>
      </c>
      <c r="P15" s="458">
        <f t="shared" si="1"/>
        <v>442.29563269084088</v>
      </c>
      <c r="Q15" s="458">
        <f t="shared" ca="1" si="1"/>
        <v>350778.5707115379</v>
      </c>
    </row>
    <row r="17" spans="1:17">
      <c r="A17" s="460" t="s">
        <v>539</v>
      </c>
      <c r="B17" s="776">
        <f ca="1">huishoudens!B10</f>
        <v>5.0821794753391367E-2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1040.9677505508932</v>
      </c>
      <c r="C22" s="448">
        <f t="shared" ref="C22:C32" ca="1" si="3">C4*$C$17</f>
        <v>0</v>
      </c>
      <c r="D22" s="448">
        <f t="shared" ref="D22:D32" si="4">D4*$D$17</f>
        <v>9618.6219322776014</v>
      </c>
      <c r="E22" s="448">
        <f t="shared" ref="E22:E32" si="5">E4*$E$17</f>
        <v>286.63193176883374</v>
      </c>
      <c r="F22" s="448">
        <f t="shared" ref="F22:F32" si="6">F4*$F$17</f>
        <v>5435.1422918345952</v>
      </c>
      <c r="G22" s="448">
        <f t="shared" ref="G22:G32" si="7">G4*$G$17</f>
        <v>0</v>
      </c>
      <c r="H22" s="448">
        <f t="shared" ref="H22:H32" si="8">H4*$H$17</f>
        <v>0</v>
      </c>
      <c r="I22" s="448">
        <f t="shared" ref="I22:I32" si="9">I4*$I$17</f>
        <v>0</v>
      </c>
      <c r="J22" s="448">
        <f t="shared" ref="J22:J32" si="10">J4*$J$17</f>
        <v>28.788226426918072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16410.152132858842</v>
      </c>
    </row>
    <row r="23" spans="1:17">
      <c r="A23" s="447" t="s">
        <v>155</v>
      </c>
      <c r="B23" s="448">
        <f t="shared" ca="1" si="2"/>
        <v>558.63828517579157</v>
      </c>
      <c r="C23" s="448">
        <f t="shared" ca="1" si="3"/>
        <v>0</v>
      </c>
      <c r="D23" s="448">
        <f t="shared" ca="1" si="4"/>
        <v>3075.4345414595441</v>
      </c>
      <c r="E23" s="448">
        <f t="shared" si="5"/>
        <v>36.570353564770024</v>
      </c>
      <c r="F23" s="448">
        <f t="shared" ca="1" si="6"/>
        <v>306.99050346705434</v>
      </c>
      <c r="G23" s="448">
        <f t="shared" si="7"/>
        <v>0</v>
      </c>
      <c r="H23" s="448">
        <f t="shared" si="8"/>
        <v>0</v>
      </c>
      <c r="I23" s="448">
        <f t="shared" si="9"/>
        <v>0</v>
      </c>
      <c r="J23" s="448">
        <f t="shared" si="10"/>
        <v>1.0689894214381188E-2</v>
      </c>
      <c r="K23" s="448">
        <f t="shared" si="11"/>
        <v>0</v>
      </c>
      <c r="L23" s="448">
        <f t="shared" ca="1" si="12"/>
        <v>0</v>
      </c>
      <c r="M23" s="448">
        <f t="shared" si="13"/>
        <v>0</v>
      </c>
      <c r="N23" s="448">
        <f t="shared" ca="1" si="14"/>
        <v>0</v>
      </c>
      <c r="O23" s="448">
        <f t="shared" si="15"/>
        <v>0</v>
      </c>
      <c r="P23" s="449">
        <f t="shared" si="16"/>
        <v>0</v>
      </c>
      <c r="Q23" s="447">
        <f t="shared" ref="Q23:Q31" ca="1" si="17">SUM(B23:P23)</f>
        <v>3977.6443735613743</v>
      </c>
    </row>
    <row r="24" spans="1:17">
      <c r="A24" s="447" t="s">
        <v>193</v>
      </c>
      <c r="B24" s="448">
        <f t="shared" ca="1" si="2"/>
        <v>47.131116018400085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47.131116018400085</v>
      </c>
    </row>
    <row r="25" spans="1:17">
      <c r="A25" s="447" t="s">
        <v>111</v>
      </c>
      <c r="B25" s="448">
        <f t="shared" ca="1" si="2"/>
        <v>137.74723459627566</v>
      </c>
      <c r="C25" s="448">
        <f t="shared" ca="1" si="3"/>
        <v>0</v>
      </c>
      <c r="D25" s="448">
        <f t="shared" si="4"/>
        <v>71.795481956000003</v>
      </c>
      <c r="E25" s="448">
        <f t="shared" si="5"/>
        <v>19.202064668180913</v>
      </c>
      <c r="F25" s="448">
        <f t="shared" si="6"/>
        <v>2557.5510461645836</v>
      </c>
      <c r="G25" s="448">
        <f t="shared" si="7"/>
        <v>0</v>
      </c>
      <c r="H25" s="448">
        <f t="shared" si="8"/>
        <v>0</v>
      </c>
      <c r="I25" s="448">
        <f t="shared" si="9"/>
        <v>0</v>
      </c>
      <c r="J25" s="448">
        <f t="shared" si="10"/>
        <v>264.34353172256471</v>
      </c>
      <c r="K25" s="448">
        <f t="shared" si="11"/>
        <v>0</v>
      </c>
      <c r="L25" s="448">
        <f t="shared" si="12"/>
        <v>0</v>
      </c>
      <c r="M25" s="448">
        <f t="shared" si="13"/>
        <v>0</v>
      </c>
      <c r="N25" s="448">
        <f t="shared" si="14"/>
        <v>0</v>
      </c>
      <c r="O25" s="448">
        <f t="shared" si="15"/>
        <v>0</v>
      </c>
      <c r="P25" s="449">
        <f t="shared" si="16"/>
        <v>0</v>
      </c>
      <c r="Q25" s="447">
        <f t="shared" ca="1" si="17"/>
        <v>3050.6393591076048</v>
      </c>
    </row>
    <row r="26" spans="1:17">
      <c r="A26" s="447" t="s">
        <v>618</v>
      </c>
      <c r="B26" s="448">
        <f t="shared" ca="1" si="2"/>
        <v>244.08054258523876</v>
      </c>
      <c r="C26" s="448">
        <f t="shared" ca="1" si="3"/>
        <v>0</v>
      </c>
      <c r="D26" s="448">
        <f t="shared" si="4"/>
        <v>1757.562137879944</v>
      </c>
      <c r="E26" s="448">
        <f t="shared" si="5"/>
        <v>180.56686750212114</v>
      </c>
      <c r="F26" s="448">
        <f t="shared" si="6"/>
        <v>708.35384305213756</v>
      </c>
      <c r="G26" s="448">
        <f t="shared" si="7"/>
        <v>0</v>
      </c>
      <c r="H26" s="448">
        <f t="shared" si="8"/>
        <v>0</v>
      </c>
      <c r="I26" s="448">
        <f t="shared" si="9"/>
        <v>0</v>
      </c>
      <c r="J26" s="448">
        <f t="shared" si="10"/>
        <v>7.6531254641205031</v>
      </c>
      <c r="K26" s="448">
        <f t="shared" si="11"/>
        <v>0</v>
      </c>
      <c r="L26" s="448">
        <f t="shared" si="12"/>
        <v>0</v>
      </c>
      <c r="M26" s="448">
        <f t="shared" si="13"/>
        <v>0</v>
      </c>
      <c r="N26" s="448">
        <f t="shared" si="14"/>
        <v>0</v>
      </c>
      <c r="O26" s="448">
        <f t="shared" si="15"/>
        <v>0</v>
      </c>
      <c r="P26" s="449">
        <f t="shared" si="16"/>
        <v>0</v>
      </c>
      <c r="Q26" s="447">
        <f t="shared" ca="1" si="17"/>
        <v>2898.2165164835619</v>
      </c>
    </row>
    <row r="27" spans="1:17" s="453" customFormat="1">
      <c r="A27" s="451" t="s">
        <v>544</v>
      </c>
      <c r="B27" s="770">
        <f t="shared" ca="1" si="2"/>
        <v>8.8093145980894896</v>
      </c>
      <c r="C27" s="452">
        <f t="shared" ca="1" si="3"/>
        <v>0</v>
      </c>
      <c r="D27" s="452">
        <f t="shared" si="4"/>
        <v>51.806476771590688</v>
      </c>
      <c r="E27" s="452">
        <f t="shared" si="5"/>
        <v>57.705953776611111</v>
      </c>
      <c r="F27" s="452">
        <f t="shared" si="6"/>
        <v>0</v>
      </c>
      <c r="G27" s="452">
        <f t="shared" si="7"/>
        <v>41493.928737527829</v>
      </c>
      <c r="H27" s="452">
        <f t="shared" si="8"/>
        <v>5850.1815279148359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47462.432010588956</v>
      </c>
    </row>
    <row r="28" spans="1:17" ht="16.5" customHeight="1">
      <c r="A28" s="447" t="s">
        <v>534</v>
      </c>
      <c r="B28" s="448">
        <f t="shared" ca="1" si="2"/>
        <v>0.89914677169980106</v>
      </c>
      <c r="C28" s="448">
        <f t="shared" ca="1" si="3"/>
        <v>0</v>
      </c>
      <c r="D28" s="448">
        <f t="shared" si="4"/>
        <v>0</v>
      </c>
      <c r="E28" s="448">
        <f t="shared" si="5"/>
        <v>0</v>
      </c>
      <c r="F28" s="448">
        <f t="shared" si="6"/>
        <v>0</v>
      </c>
      <c r="G28" s="448">
        <f t="shared" si="7"/>
        <v>342.24670119278119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343.14584796448099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22.502213597574833</v>
      </c>
      <c r="C32" s="448">
        <f t="shared" ca="1" si="3"/>
        <v>0</v>
      </c>
      <c r="D32" s="448">
        <f t="shared" si="4"/>
        <v>167.8876439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190.38985749757484</v>
      </c>
    </row>
    <row r="33" spans="1:17" s="459" customFormat="1">
      <c r="A33" s="457" t="s">
        <v>538</v>
      </c>
      <c r="B33" s="458">
        <f ca="1">SUM(B22:B32)</f>
        <v>2060.7756038939633</v>
      </c>
      <c r="C33" s="458">
        <f t="shared" ref="C33:Q33" ca="1" si="19">SUM(C22:C32)</f>
        <v>0</v>
      </c>
      <c r="D33" s="458">
        <f t="shared" ca="1" si="19"/>
        <v>14743.108214244681</v>
      </c>
      <c r="E33" s="458">
        <f t="shared" si="19"/>
        <v>580.67717128051686</v>
      </c>
      <c r="F33" s="458">
        <f t="shared" ca="1" si="19"/>
        <v>9008.037684518371</v>
      </c>
      <c r="G33" s="458">
        <f t="shared" si="19"/>
        <v>41836.175438720609</v>
      </c>
      <c r="H33" s="458">
        <f t="shared" si="19"/>
        <v>5850.1815279148359</v>
      </c>
      <c r="I33" s="458">
        <f t="shared" si="19"/>
        <v>0</v>
      </c>
      <c r="J33" s="458">
        <f t="shared" si="19"/>
        <v>300.79557350781766</v>
      </c>
      <c r="K33" s="458">
        <f t="shared" si="19"/>
        <v>0</v>
      </c>
      <c r="L33" s="458">
        <f t="shared" ca="1" si="19"/>
        <v>0</v>
      </c>
      <c r="M33" s="458">
        <f t="shared" si="19"/>
        <v>0</v>
      </c>
      <c r="N33" s="458">
        <f t="shared" ca="1" si="19"/>
        <v>0</v>
      </c>
      <c r="O33" s="458">
        <f t="shared" si="19"/>
        <v>0</v>
      </c>
      <c r="P33" s="458">
        <f t="shared" si="19"/>
        <v>0</v>
      </c>
      <c r="Q33" s="458">
        <f t="shared" ca="1" si="19"/>
        <v>74379.751214080796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24410.562225830294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5510.063398223987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898.65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1057.2352941176471</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405</v>
      </c>
      <c r="C9" s="1021">
        <f>'SEAP template'!C77</f>
        <v>0</v>
      </c>
      <c r="D9" s="1021">
        <f>'SEAP template'!D77</f>
        <v>0</v>
      </c>
      <c r="E9" s="1021">
        <f>'SEAP template'!E77</f>
        <v>0</v>
      </c>
      <c r="F9" s="1021">
        <f>'SEAP template'!F77</f>
        <v>0</v>
      </c>
      <c r="G9" s="1021">
        <f>'SEAP template'!G77</f>
        <v>0</v>
      </c>
      <c r="H9" s="1021">
        <f>'SEAP template'!H77</f>
        <v>0</v>
      </c>
      <c r="I9" s="1021">
        <f>'SEAP template'!I77</f>
        <v>1012.5</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31224.27562405428</v>
      </c>
      <c r="C10" s="1023">
        <f>SUM(C4:C9)</f>
        <v>0</v>
      </c>
      <c r="D10" s="1023">
        <f t="shared" ref="D10:H10" si="0">SUM(D8:D9)</f>
        <v>0</v>
      </c>
      <c r="E10" s="1023">
        <f t="shared" si="0"/>
        <v>0</v>
      </c>
      <c r="F10" s="1023">
        <f t="shared" si="0"/>
        <v>0</v>
      </c>
      <c r="G10" s="1023">
        <f t="shared" si="0"/>
        <v>0</v>
      </c>
      <c r="H10" s="1023">
        <f t="shared" si="0"/>
        <v>0</v>
      </c>
      <c r="I10" s="1023">
        <f>SUM(I8:I9)</f>
        <v>1012.5</v>
      </c>
      <c r="J10" s="1023">
        <f>SUM(J8:J9)</f>
        <v>1057.2352941176471</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5.0821794753391367E-2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1283.7857142857144</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1510.3361344537818</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1283.7857142857144</v>
      </c>
      <c r="C20" s="1023">
        <f>SUM(C17:C19)</f>
        <v>0</v>
      </c>
      <c r="D20" s="1023">
        <f t="shared" ref="D20:H20" si="2">SUM(D17:D19)</f>
        <v>0</v>
      </c>
      <c r="E20" s="1023">
        <f t="shared" si="2"/>
        <v>0</v>
      </c>
      <c r="F20" s="1023">
        <f t="shared" si="2"/>
        <v>0</v>
      </c>
      <c r="G20" s="1023">
        <f t="shared" si="2"/>
        <v>0</v>
      </c>
      <c r="H20" s="1023">
        <f t="shared" si="2"/>
        <v>0</v>
      </c>
      <c r="I20" s="1023">
        <f>SUM(I17:I19)</f>
        <v>0</v>
      </c>
      <c r="J20" s="1023">
        <f>SUM(J17:J19)</f>
        <v>1510.3361344537818</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5.0821794753391367E-2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5.0821794753391367E-2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5.0821794753391367E-2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5052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3153.3</v>
      </c>
      <c r="C14" s="326"/>
      <c r="D14" s="326"/>
      <c r="E14" s="326"/>
      <c r="F14" s="326"/>
    </row>
    <row r="15" spans="1:6">
      <c r="A15" s="1298" t="s">
        <v>183</v>
      </c>
      <c r="B15" s="1299">
        <v>44</v>
      </c>
      <c r="C15" s="326"/>
      <c r="D15" s="326"/>
      <c r="E15" s="326"/>
      <c r="F15" s="326"/>
    </row>
    <row r="16" spans="1:6">
      <c r="A16" s="1298" t="s">
        <v>6</v>
      </c>
      <c r="B16" s="1299">
        <v>1823</v>
      </c>
      <c r="C16" s="326"/>
      <c r="D16" s="326"/>
      <c r="E16" s="326"/>
      <c r="F16" s="326"/>
    </row>
    <row r="17" spans="1:6">
      <c r="A17" s="1298" t="s">
        <v>7</v>
      </c>
      <c r="B17" s="1299">
        <v>739</v>
      </c>
      <c r="C17" s="326"/>
      <c r="D17" s="326"/>
      <c r="E17" s="326"/>
      <c r="F17" s="326"/>
    </row>
    <row r="18" spans="1:6">
      <c r="A18" s="1298" t="s">
        <v>8</v>
      </c>
      <c r="B18" s="1299">
        <v>1410</v>
      </c>
      <c r="C18" s="326"/>
      <c r="D18" s="326"/>
      <c r="E18" s="326"/>
      <c r="F18" s="326"/>
    </row>
    <row r="19" spans="1:6">
      <c r="A19" s="1298" t="s">
        <v>9</v>
      </c>
      <c r="B19" s="1299">
        <v>1356</v>
      </c>
      <c r="C19" s="326"/>
      <c r="D19" s="326"/>
      <c r="E19" s="326"/>
      <c r="F19" s="326"/>
    </row>
    <row r="20" spans="1:6">
      <c r="A20" s="1298" t="s">
        <v>10</v>
      </c>
      <c r="B20" s="1299">
        <v>998</v>
      </c>
      <c r="C20" s="326"/>
      <c r="D20" s="326"/>
      <c r="E20" s="326"/>
      <c r="F20" s="326"/>
    </row>
    <row r="21" spans="1:6">
      <c r="A21" s="1298" t="s">
        <v>11</v>
      </c>
      <c r="B21" s="1299">
        <v>8201</v>
      </c>
      <c r="C21" s="326"/>
      <c r="D21" s="326"/>
      <c r="E21" s="326"/>
      <c r="F21" s="326"/>
    </row>
    <row r="22" spans="1:6">
      <c r="A22" s="1298" t="s">
        <v>12</v>
      </c>
      <c r="B22" s="1299">
        <v>19840</v>
      </c>
      <c r="C22" s="326"/>
      <c r="D22" s="326"/>
      <c r="E22" s="326"/>
      <c r="F22" s="326"/>
    </row>
    <row r="23" spans="1:6">
      <c r="A23" s="1298" t="s">
        <v>13</v>
      </c>
      <c r="B23" s="1299">
        <v>94</v>
      </c>
      <c r="C23" s="326"/>
      <c r="D23" s="326"/>
      <c r="E23" s="326"/>
      <c r="F23" s="326"/>
    </row>
    <row r="24" spans="1:6">
      <c r="A24" s="1298" t="s">
        <v>14</v>
      </c>
      <c r="B24" s="1299">
        <v>6</v>
      </c>
      <c r="C24" s="326"/>
      <c r="D24" s="326"/>
      <c r="E24" s="326"/>
      <c r="F24" s="326"/>
    </row>
    <row r="25" spans="1:6">
      <c r="A25" s="1298" t="s">
        <v>15</v>
      </c>
      <c r="B25" s="1299">
        <v>588</v>
      </c>
      <c r="C25" s="326"/>
      <c r="D25" s="326"/>
      <c r="E25" s="326"/>
      <c r="F25" s="326"/>
    </row>
    <row r="26" spans="1:6">
      <c r="A26" s="1298" t="s">
        <v>16</v>
      </c>
      <c r="B26" s="1299">
        <v>237</v>
      </c>
      <c r="C26" s="326"/>
      <c r="D26" s="326"/>
      <c r="E26" s="326"/>
      <c r="F26" s="326"/>
    </row>
    <row r="27" spans="1:6">
      <c r="A27" s="1298" t="s">
        <v>17</v>
      </c>
      <c r="B27" s="1299">
        <v>0</v>
      </c>
      <c r="C27" s="326"/>
      <c r="D27" s="326"/>
      <c r="E27" s="326"/>
      <c r="F27" s="326"/>
    </row>
    <row r="28" spans="1:6" s="43" customFormat="1">
      <c r="A28" s="1300" t="s">
        <v>18</v>
      </c>
      <c r="B28" s="1301">
        <v>70778</v>
      </c>
      <c r="C28" s="332"/>
      <c r="D28" s="332"/>
      <c r="E28" s="332"/>
      <c r="F28" s="332"/>
    </row>
    <row r="29" spans="1:6">
      <c r="A29" s="1300" t="s">
        <v>695</v>
      </c>
      <c r="B29" s="1301">
        <v>33</v>
      </c>
      <c r="C29" s="332"/>
      <c r="D29" s="332"/>
      <c r="E29" s="332"/>
      <c r="F29" s="332"/>
    </row>
    <row r="30" spans="1:6">
      <c r="A30" s="1293" t="s">
        <v>696</v>
      </c>
      <c r="B30" s="1302">
        <v>10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12</v>
      </c>
      <c r="F36" s="1299">
        <v>125839</v>
      </c>
    </row>
    <row r="37" spans="1:6">
      <c r="A37" s="1298" t="s">
        <v>24</v>
      </c>
      <c r="B37" s="1298" t="s">
        <v>27</v>
      </c>
      <c r="C37" s="1299">
        <v>0</v>
      </c>
      <c r="D37" s="1299">
        <v>0</v>
      </c>
      <c r="E37" s="1299">
        <v>0</v>
      </c>
      <c r="F37" s="1299">
        <v>0</v>
      </c>
    </row>
    <row r="38" spans="1:6">
      <c r="A38" s="1298" t="s">
        <v>24</v>
      </c>
      <c r="B38" s="1298" t="s">
        <v>28</v>
      </c>
      <c r="C38" s="1299">
        <v>1</v>
      </c>
      <c r="D38" s="1299">
        <v>661920.23499999999</v>
      </c>
      <c r="E38" s="1299">
        <v>1</v>
      </c>
      <c r="F38" s="1299">
        <v>9185</v>
      </c>
    </row>
    <row r="39" spans="1:6">
      <c r="A39" s="1298" t="s">
        <v>29</v>
      </c>
      <c r="B39" s="1298" t="s">
        <v>30</v>
      </c>
      <c r="C39" s="1299">
        <v>3738</v>
      </c>
      <c r="D39" s="1299">
        <v>52790399.399999999</v>
      </c>
      <c r="E39" s="1299">
        <v>4992</v>
      </c>
      <c r="F39" s="1299">
        <v>17367363</v>
      </c>
    </row>
    <row r="40" spans="1:6">
      <c r="A40" s="1298" t="s">
        <v>29</v>
      </c>
      <c r="B40" s="1298" t="s">
        <v>28</v>
      </c>
      <c r="C40" s="1299">
        <v>0</v>
      </c>
      <c r="D40" s="1299">
        <v>0</v>
      </c>
      <c r="E40" s="1299">
        <v>0</v>
      </c>
      <c r="F40" s="1299">
        <v>0</v>
      </c>
    </row>
    <row r="41" spans="1:6">
      <c r="A41" s="1298" t="s">
        <v>31</v>
      </c>
      <c r="B41" s="1298" t="s">
        <v>32</v>
      </c>
      <c r="C41" s="1299">
        <v>56</v>
      </c>
      <c r="D41" s="1299">
        <v>7396734.6859999998</v>
      </c>
      <c r="E41" s="1299">
        <v>120</v>
      </c>
      <c r="F41" s="1299">
        <v>2723626.2140000002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6</v>
      </c>
      <c r="D44" s="1299">
        <v>682225</v>
      </c>
      <c r="E44" s="1299">
        <v>17</v>
      </c>
      <c r="F44" s="1299">
        <v>473352</v>
      </c>
    </row>
    <row r="45" spans="1:6">
      <c r="A45" s="1298" t="s">
        <v>31</v>
      </c>
      <c r="B45" s="1298" t="s">
        <v>36</v>
      </c>
      <c r="C45" s="1299">
        <v>4</v>
      </c>
      <c r="D45" s="1299">
        <v>640341</v>
      </c>
      <c r="E45" s="1299">
        <v>6</v>
      </c>
      <c r="F45" s="1299">
        <v>804168</v>
      </c>
    </row>
    <row r="46" spans="1:6">
      <c r="A46" s="1298" t="s">
        <v>31</v>
      </c>
      <c r="B46" s="1298" t="s">
        <v>37</v>
      </c>
      <c r="C46" s="1299">
        <v>0</v>
      </c>
      <c r="D46" s="1299">
        <v>0</v>
      </c>
      <c r="E46" s="1299">
        <v>0</v>
      </c>
      <c r="F46" s="1299">
        <v>0</v>
      </c>
    </row>
    <row r="47" spans="1:6">
      <c r="A47" s="1298" t="s">
        <v>31</v>
      </c>
      <c r="B47" s="1298" t="s">
        <v>38</v>
      </c>
      <c r="C47" s="1299">
        <v>5</v>
      </c>
      <c r="D47" s="1299">
        <v>339471</v>
      </c>
      <c r="E47" s="1299">
        <v>5</v>
      </c>
      <c r="F47" s="1299">
        <v>190181</v>
      </c>
    </row>
    <row r="48" spans="1:6">
      <c r="A48" s="1298" t="s">
        <v>31</v>
      </c>
      <c r="B48" s="1298" t="s">
        <v>28</v>
      </c>
      <c r="C48" s="1299">
        <v>1</v>
      </c>
      <c r="D48" s="1299">
        <v>20621</v>
      </c>
      <c r="E48" s="1299">
        <v>2</v>
      </c>
      <c r="F48" s="1299">
        <v>11119</v>
      </c>
    </row>
    <row r="49" spans="1:6">
      <c r="A49" s="1298" t="s">
        <v>31</v>
      </c>
      <c r="B49" s="1298" t="s">
        <v>39</v>
      </c>
      <c r="C49" s="1299">
        <v>0</v>
      </c>
      <c r="D49" s="1299">
        <v>0</v>
      </c>
      <c r="E49" s="1299">
        <v>0</v>
      </c>
      <c r="F49" s="1299">
        <v>0</v>
      </c>
    </row>
    <row r="50" spans="1:6">
      <c r="A50" s="1298" t="s">
        <v>31</v>
      </c>
      <c r="B50" s="1298" t="s">
        <v>40</v>
      </c>
      <c r="C50" s="1299">
        <v>7</v>
      </c>
      <c r="D50" s="1299">
        <v>566730</v>
      </c>
      <c r="E50" s="1299">
        <v>11</v>
      </c>
      <c r="F50" s="1299">
        <v>600228.38199999998</v>
      </c>
    </row>
    <row r="51" spans="1:6">
      <c r="A51" s="1298" t="s">
        <v>41</v>
      </c>
      <c r="B51" s="1298" t="s">
        <v>42</v>
      </c>
      <c r="C51" s="1299">
        <v>13</v>
      </c>
      <c r="D51" s="1299">
        <v>394039</v>
      </c>
      <c r="E51" s="1299">
        <v>82</v>
      </c>
      <c r="F51" s="1299">
        <v>2710396.8930000002</v>
      </c>
    </row>
    <row r="52" spans="1:6">
      <c r="A52" s="1298" t="s">
        <v>41</v>
      </c>
      <c r="B52" s="1298" t="s">
        <v>28</v>
      </c>
      <c r="C52" s="1299">
        <v>0</v>
      </c>
      <c r="D52" s="1299">
        <v>0</v>
      </c>
      <c r="E52" s="1299">
        <v>0</v>
      </c>
      <c r="F52" s="1299">
        <v>0</v>
      </c>
    </row>
    <row r="53" spans="1:6">
      <c r="A53" s="1298" t="s">
        <v>43</v>
      </c>
      <c r="B53" s="1298" t="s">
        <v>44</v>
      </c>
      <c r="C53" s="1299">
        <v>46</v>
      </c>
      <c r="D53" s="1299">
        <v>831126.95</v>
      </c>
      <c r="E53" s="1299">
        <v>112</v>
      </c>
      <c r="F53" s="1299">
        <v>442767</v>
      </c>
    </row>
    <row r="54" spans="1:6">
      <c r="A54" s="1298" t="s">
        <v>45</v>
      </c>
      <c r="B54" s="1298" t="s">
        <v>46</v>
      </c>
      <c r="C54" s="1299">
        <v>0</v>
      </c>
      <c r="D54" s="1299">
        <v>0</v>
      </c>
      <c r="E54" s="1299">
        <v>1</v>
      </c>
      <c r="F54" s="1299">
        <v>927380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48</v>
      </c>
      <c r="D57" s="1299">
        <v>2777724.9360000002</v>
      </c>
      <c r="E57" s="1299">
        <v>79</v>
      </c>
      <c r="F57" s="1299">
        <v>1778825.6429999999</v>
      </c>
    </row>
    <row r="58" spans="1:6">
      <c r="A58" s="1298" t="s">
        <v>48</v>
      </c>
      <c r="B58" s="1298" t="s">
        <v>50</v>
      </c>
      <c r="C58" s="1299">
        <v>25</v>
      </c>
      <c r="D58" s="1299">
        <v>2171009.9789999998</v>
      </c>
      <c r="E58" s="1299">
        <v>32</v>
      </c>
      <c r="F58" s="1299">
        <v>604015.40800000005</v>
      </c>
    </row>
    <row r="59" spans="1:6">
      <c r="A59" s="1298" t="s">
        <v>48</v>
      </c>
      <c r="B59" s="1298" t="s">
        <v>51</v>
      </c>
      <c r="C59" s="1299">
        <v>102</v>
      </c>
      <c r="D59" s="1299">
        <v>4513530</v>
      </c>
      <c r="E59" s="1299">
        <v>186</v>
      </c>
      <c r="F59" s="1299">
        <v>4522871.3930000002</v>
      </c>
    </row>
    <row r="60" spans="1:6">
      <c r="A60" s="1298" t="s">
        <v>48</v>
      </c>
      <c r="B60" s="1298" t="s">
        <v>52</v>
      </c>
      <c r="C60" s="1299">
        <v>41</v>
      </c>
      <c r="D60" s="1299">
        <v>1596799</v>
      </c>
      <c r="E60" s="1299">
        <v>55</v>
      </c>
      <c r="F60" s="1299">
        <v>957777.21499999997</v>
      </c>
    </row>
    <row r="61" spans="1:6">
      <c r="A61" s="1298" t="s">
        <v>48</v>
      </c>
      <c r="B61" s="1298" t="s">
        <v>53</v>
      </c>
      <c r="C61" s="1299">
        <v>121</v>
      </c>
      <c r="D61" s="1299">
        <v>3750452.6</v>
      </c>
      <c r="E61" s="1299">
        <v>215</v>
      </c>
      <c r="F61" s="1299">
        <v>1857265.031</v>
      </c>
    </row>
    <row r="62" spans="1:6">
      <c r="A62" s="1298" t="s">
        <v>48</v>
      </c>
      <c r="B62" s="1298" t="s">
        <v>54</v>
      </c>
      <c r="C62" s="1299">
        <v>11</v>
      </c>
      <c r="D62" s="1299">
        <v>2069556.071</v>
      </c>
      <c r="E62" s="1299">
        <v>11</v>
      </c>
      <c r="F62" s="1299">
        <v>416346</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39109</v>
      </c>
      <c r="E65" s="1299">
        <v>0</v>
      </c>
      <c r="F65" s="1299">
        <v>0</v>
      </c>
    </row>
    <row r="66" spans="1:6">
      <c r="A66" s="1298" t="s">
        <v>55</v>
      </c>
      <c r="B66" s="1298" t="s">
        <v>57</v>
      </c>
      <c r="C66" s="1299">
        <v>0</v>
      </c>
      <c r="D66" s="1299">
        <v>0</v>
      </c>
      <c r="E66" s="1299">
        <v>11</v>
      </c>
      <c r="F66" s="1299">
        <v>187462.9</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95039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47997044</v>
      </c>
      <c r="E73" s="446"/>
      <c r="F73" s="326"/>
    </row>
    <row r="74" spans="1:6">
      <c r="A74" s="1298" t="s">
        <v>63</v>
      </c>
      <c r="B74" s="1298" t="s">
        <v>639</v>
      </c>
      <c r="C74" s="1312" t="s">
        <v>641</v>
      </c>
      <c r="D74" s="1313">
        <v>5387197.5</v>
      </c>
      <c r="E74" s="446"/>
      <c r="F74" s="326"/>
    </row>
    <row r="75" spans="1:6">
      <c r="A75" s="1298" t="s">
        <v>64</v>
      </c>
      <c r="B75" s="1298" t="s">
        <v>638</v>
      </c>
      <c r="C75" s="1312" t="s">
        <v>642</v>
      </c>
      <c r="D75" s="1313">
        <v>9095186</v>
      </c>
      <c r="E75" s="446"/>
      <c r="F75" s="326"/>
    </row>
    <row r="76" spans="1:6">
      <c r="A76" s="1298" t="s">
        <v>64</v>
      </c>
      <c r="B76" s="1298" t="s">
        <v>639</v>
      </c>
      <c r="C76" s="1312" t="s">
        <v>643</v>
      </c>
      <c r="D76" s="1313">
        <v>730299.5</v>
      </c>
      <c r="E76" s="446"/>
      <c r="F76" s="326"/>
    </row>
    <row r="77" spans="1:6">
      <c r="A77" s="1298" t="s">
        <v>65</v>
      </c>
      <c r="B77" s="1298" t="s">
        <v>638</v>
      </c>
      <c r="C77" s="1312" t="s">
        <v>644</v>
      </c>
      <c r="D77" s="1313">
        <v>104674151</v>
      </c>
      <c r="E77" s="446"/>
      <c r="F77" s="326"/>
    </row>
    <row r="78" spans="1:6">
      <c r="A78" s="1293" t="s">
        <v>65</v>
      </c>
      <c r="B78" s="1293" t="s">
        <v>639</v>
      </c>
      <c r="C78" s="1293" t="s">
        <v>645</v>
      </c>
      <c r="D78" s="1314">
        <v>25806923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375961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24410.562225830294</v>
      </c>
      <c r="C90" s="326"/>
      <c r="D90" s="326"/>
      <c r="E90" s="326"/>
      <c r="F90" s="326"/>
    </row>
    <row r="91" spans="1:6">
      <c r="A91" s="1298" t="s">
        <v>67</v>
      </c>
      <c r="B91" s="1299">
        <v>3115.3404464663172</v>
      </c>
      <c r="C91" s="326"/>
      <c r="D91" s="326"/>
      <c r="E91" s="326"/>
      <c r="F91" s="326"/>
    </row>
    <row r="92" spans="1:6">
      <c r="A92" s="1293" t="s">
        <v>68</v>
      </c>
      <c r="B92" s="1294">
        <v>2394.7229517576693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2525</v>
      </c>
      <c r="C97" s="326"/>
      <c r="D97" s="326"/>
      <c r="E97" s="326"/>
      <c r="F97" s="326"/>
    </row>
    <row r="98" spans="1:6">
      <c r="A98" s="1298" t="s">
        <v>71</v>
      </c>
      <c r="B98" s="1299">
        <v>2</v>
      </c>
      <c r="C98" s="326"/>
      <c r="D98" s="326"/>
      <c r="E98" s="326"/>
      <c r="F98" s="326"/>
    </row>
    <row r="99" spans="1:6">
      <c r="A99" s="1298" t="s">
        <v>72</v>
      </c>
      <c r="B99" s="1299">
        <v>56</v>
      </c>
      <c r="C99" s="326"/>
      <c r="D99" s="326"/>
      <c r="E99" s="326"/>
      <c r="F99" s="326"/>
    </row>
    <row r="100" spans="1:6">
      <c r="A100" s="1298" t="s">
        <v>73</v>
      </c>
      <c r="B100" s="1299">
        <v>449</v>
      </c>
      <c r="C100" s="326"/>
      <c r="D100" s="326"/>
      <c r="E100" s="326"/>
      <c r="F100" s="326"/>
    </row>
    <row r="101" spans="1:6">
      <c r="A101" s="1298" t="s">
        <v>74</v>
      </c>
      <c r="B101" s="1299">
        <v>96</v>
      </c>
      <c r="C101" s="326"/>
      <c r="D101" s="326"/>
      <c r="E101" s="326"/>
      <c r="F101" s="326"/>
    </row>
    <row r="102" spans="1:6">
      <c r="A102" s="1298" t="s">
        <v>75</v>
      </c>
      <c r="B102" s="1299">
        <v>58</v>
      </c>
      <c r="C102" s="326"/>
      <c r="D102" s="326"/>
      <c r="E102" s="326"/>
      <c r="F102" s="326"/>
    </row>
    <row r="103" spans="1:6">
      <c r="A103" s="1298" t="s">
        <v>76</v>
      </c>
      <c r="B103" s="1299">
        <v>129</v>
      </c>
      <c r="C103" s="326"/>
      <c r="D103" s="326"/>
      <c r="E103" s="326"/>
      <c r="F103" s="326"/>
    </row>
    <row r="104" spans="1:6">
      <c r="A104" s="1298" t="s">
        <v>77</v>
      </c>
      <c r="B104" s="1299">
        <v>902</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16</v>
      </c>
      <c r="C123" s="1299">
        <v>36</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185</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40549.052112262259</v>
      </c>
      <c r="C3" s="43" t="s">
        <v>169</v>
      </c>
      <c r="D3" s="43"/>
      <c r="E3" s="154"/>
      <c r="F3" s="43"/>
      <c r="G3" s="43"/>
      <c r="H3" s="43"/>
      <c r="I3" s="43"/>
      <c r="J3" s="43"/>
      <c r="K3" s="96"/>
    </row>
    <row r="4" spans="1:11">
      <c r="A4" s="354" t="s">
        <v>170</v>
      </c>
      <c r="B4" s="49">
        <f>IF(ISERROR('SEAP template'!B78+'SEAP template'!C78),0,'SEAP template'!B78+'SEAP template'!C78)</f>
        <v>31224.27562405428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5.0821794753391367E-2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1283.7857142857144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927.38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927.38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5.0821794753391367E-2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47.131116018400085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17367.363000000001</v>
      </c>
      <c r="C5" s="17">
        <f>IF(ISERROR('Eigen informatie GS &amp; warmtenet'!B59),0,'Eigen informatie GS &amp; warmtenet'!B59)</f>
        <v>0</v>
      </c>
      <c r="D5" s="30">
        <f>(SUM(HH_hh_gas_kWh,HH_rest_gas_kWh)/1000)*0.902</f>
        <v>47616.940258800001</v>
      </c>
      <c r="E5" s="17">
        <f>B32*B41</f>
        <v>1262.6957346644658</v>
      </c>
      <c r="F5" s="17">
        <f>B36*B45</f>
        <v>20356.338171665149</v>
      </c>
      <c r="G5" s="18"/>
      <c r="H5" s="17"/>
      <c r="I5" s="17"/>
      <c r="J5" s="17">
        <f>B35*B44+C35*C44</f>
        <v>81.322673522367438</v>
      </c>
      <c r="K5" s="17"/>
      <c r="L5" s="17"/>
      <c r="M5" s="17"/>
      <c r="N5" s="17">
        <f>B34*B43+C34*C43</f>
        <v>6713.296531564798</v>
      </c>
      <c r="O5" s="17">
        <f>B52*B53*B54</f>
        <v>440.43872470392103</v>
      </c>
      <c r="P5" s="17">
        <f>B60*B61*B62/1000-B60*B61*B62/1000/B63</f>
        <v>389.75649438434584</v>
      </c>
    </row>
    <row r="6" spans="1:16">
      <c r="A6" s="16" t="s">
        <v>604</v>
      </c>
      <c r="B6" s="778">
        <f>kWh_PV_kleiner_dan_10kW</f>
        <v>3115.3404464663172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20482.703446466319</v>
      </c>
      <c r="C8" s="21">
        <f>C5</f>
        <v>0</v>
      </c>
      <c r="D8" s="21">
        <f>D5</f>
        <v>47616.940258800001</v>
      </c>
      <c r="E8" s="21">
        <f>E5</f>
        <v>1262.6957346644658</v>
      </c>
      <c r="F8" s="21">
        <f>F5</f>
        <v>20356.338171665149</v>
      </c>
      <c r="G8" s="21"/>
      <c r="H8" s="21"/>
      <c r="I8" s="21"/>
      <c r="J8" s="21">
        <f>J5</f>
        <v>81.322673522367438</v>
      </c>
      <c r="K8" s="21"/>
      <c r="L8" s="21">
        <f>L5</f>
        <v>0</v>
      </c>
      <c r="M8" s="21">
        <f>M5</f>
        <v>0</v>
      </c>
      <c r="N8" s="21">
        <f>N5</f>
        <v>6713.296531564798</v>
      </c>
      <c r="O8" s="21">
        <f>O5</f>
        <v>440.43872470392103</v>
      </c>
      <c r="P8" s="21">
        <f>P5</f>
        <v>389.75649438434584</v>
      </c>
    </row>
    <row r="9" spans="1:16">
      <c r="B9" s="19"/>
      <c r="C9" s="19"/>
      <c r="D9" s="256"/>
      <c r="E9" s="19"/>
      <c r="F9" s="19"/>
      <c r="G9" s="19"/>
      <c r="H9" s="19"/>
      <c r="I9" s="19"/>
      <c r="J9" s="19"/>
      <c r="K9" s="19"/>
      <c r="L9" s="19"/>
      <c r="M9" s="19"/>
      <c r="N9" s="19"/>
      <c r="O9" s="19"/>
      <c r="P9" s="19"/>
    </row>
    <row r="10" spans="1:16">
      <c r="A10" s="24" t="s">
        <v>213</v>
      </c>
      <c r="B10" s="25">
        <f ca="1">'EF ele_warmte'!B12</f>
        <v>5.0821794753391367E-2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1040.9677505508932</v>
      </c>
      <c r="C12" s="23">
        <f ca="1">C10*C8</f>
        <v>0</v>
      </c>
      <c r="D12" s="23">
        <f>D8*D10</f>
        <v>9618.6219322776014</v>
      </c>
      <c r="E12" s="23">
        <f>E10*E8</f>
        <v>286.63193176883374</v>
      </c>
      <c r="F12" s="23">
        <f>F10*F8</f>
        <v>5435.1422918345952</v>
      </c>
      <c r="G12" s="23"/>
      <c r="H12" s="23"/>
      <c r="I12" s="23"/>
      <c r="J12" s="23">
        <f>J10*J8</f>
        <v>28.788226426918072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5052</v>
      </c>
      <c r="C26" s="36"/>
      <c r="D26" s="226"/>
    </row>
    <row r="27" spans="1:7" s="15" customFormat="1">
      <c r="A27" s="228" t="s">
        <v>806</v>
      </c>
      <c r="B27" s="37">
        <f>SUM(HH_hh_gas_aantal,HH_rest_gas_aantal)</f>
        <v>3738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3551.1</v>
      </c>
      <c r="C31" s="166" t="s">
        <v>110</v>
      </c>
      <c r="D31" s="231"/>
      <c r="G31" s="15"/>
    </row>
    <row r="32" spans="1:7">
      <c r="A32" s="169" t="s">
        <v>72</v>
      </c>
      <c r="B32" s="166">
        <f>IF((B21*($B$26-($B$27-0.05*$B$27)-$B$60))&lt;0,0,B21*($B$26-($B$27-0.05*$B$27)-$B$60))</f>
        <v>23.239703368051007</v>
      </c>
      <c r="C32" s="166" t="s">
        <v>110</v>
      </c>
      <c r="D32" s="231"/>
      <c r="G32" s="15"/>
    </row>
    <row r="33" spans="1:7">
      <c r="A33" s="169" t="s">
        <v>73</v>
      </c>
      <c r="B33" s="166">
        <f>IF((B22*($B$26-($B$27-0.05*$B$27)-$B$60))&lt;0,0,B22*($B$26-($B$27-0.05*$B$27)-$B$60))</f>
        <v>377.36675595944359</v>
      </c>
      <c r="C33" s="166" t="s">
        <v>110</v>
      </c>
      <c r="D33" s="231"/>
      <c r="G33" s="15"/>
    </row>
    <row r="34" spans="1:7">
      <c r="A34" s="169" t="s">
        <v>74</v>
      </c>
      <c r="B34" s="166">
        <f>IF((B24*($B$26-($B$27-0.05*$B$27)-$B$60))&lt;0,0,B24*($B$26-($B$27-0.05*$B$27)-$B$60))</f>
        <v>72.346257214487949</v>
      </c>
      <c r="C34" s="166">
        <f>B26*C24</f>
        <v>1035.1848079026611</v>
      </c>
      <c r="D34" s="231"/>
      <c r="G34" s="15"/>
    </row>
    <row r="35" spans="1:7">
      <c r="A35" s="169" t="s">
        <v>76</v>
      </c>
      <c r="B35" s="166">
        <f>IF((B19*($B$26-($B$27-0.05*$B$27)-$B$60))&lt;0,0,B19*($B$26-($B$27-0.05*$B$27)-$B$60))</f>
        <v>10.102243649122432</v>
      </c>
      <c r="C35" s="166">
        <f>B35/2</f>
        <v>5.0511218245612159</v>
      </c>
      <c r="D35" s="232"/>
      <c r="G35" s="15"/>
    </row>
    <row r="36" spans="1:7">
      <c r="A36" s="169" t="s">
        <v>77</v>
      </c>
      <c r="B36" s="166">
        <f>IF((B18*($B$26-($B$27-0.05*$B$27)-$B$60))&lt;0,0,B18*($B$26-($B$27-0.05*$B$27)-$B$60))</f>
        <v>980.84503980889485</v>
      </c>
      <c r="C36" s="166" t="s">
        <v>110</v>
      </c>
      <c r="D36" s="232"/>
      <c r="G36" s="15"/>
    </row>
    <row r="37" spans="1:7">
      <c r="A37" s="169" t="s">
        <v>78</v>
      </c>
      <c r="B37" s="166">
        <f>B60</f>
        <v>37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222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10137.100689999999</v>
      </c>
      <c r="C5" s="17">
        <f>IF(ISERROR('Eigen informatie GS &amp; warmtenet'!B60),0,'Eigen informatie GS &amp; warmtenet'!B60)</f>
        <v>0</v>
      </c>
      <c r="D5" s="30">
        <f>SUM(D6:D12)</f>
        <v>15224.923472572</v>
      </c>
      <c r="E5" s="17">
        <f>SUM(E6:E12)</f>
        <v>161.10287913995603</v>
      </c>
      <c r="F5" s="17">
        <f>SUM(F6:F12)</f>
        <v>1149.7771665432747</v>
      </c>
      <c r="G5" s="18"/>
      <c r="H5" s="17"/>
      <c r="I5" s="17"/>
      <c r="J5" s="17">
        <f>SUM(J6:J12)</f>
        <v>3.0197441283562682E-2</v>
      </c>
      <c r="K5" s="17"/>
      <c r="L5" s="17"/>
      <c r="M5" s="17"/>
      <c r="N5" s="17">
        <f>SUM(N6:N12)</f>
        <v>1185.3743647115998</v>
      </c>
      <c r="O5" s="17">
        <f>B38*B39*B40</f>
        <v>9.7945215316823084</v>
      </c>
      <c r="P5" s="17">
        <f>B46*B47*B48/1000-B46*B47*B48/1000/B49</f>
        <v>52.539138306495019</v>
      </c>
      <c r="R5" s="32"/>
    </row>
    <row r="6" spans="1:18">
      <c r="A6" s="32" t="s">
        <v>53</v>
      </c>
      <c r="B6" s="37">
        <f>B26</f>
        <v>1857.2650309999999</v>
      </c>
      <c r="C6" s="33"/>
      <c r="D6" s="37">
        <f>IF(ISERROR(TER_kantoor_gas_kWh/1000),0,TER_kantoor_gas_kWh/1000)*0.902</f>
        <v>3382.9082452000002</v>
      </c>
      <c r="E6" s="33">
        <f>$C$26*'E Balans VL '!I12/100/3.6*1000000</f>
        <v>14.944816218374243</v>
      </c>
      <c r="F6" s="33">
        <f>$C$26*('E Balans VL '!L12+'E Balans VL '!N12)/100/3.6*1000000</f>
        <v>227.0701878423605</v>
      </c>
      <c r="G6" s="34"/>
      <c r="H6" s="33"/>
      <c r="I6" s="33"/>
      <c r="J6" s="33">
        <f>$C$26*('E Balans VL '!D12+'E Balans VL '!E12)/100/3.6*1000000</f>
        <v>0</v>
      </c>
      <c r="K6" s="33"/>
      <c r="L6" s="33"/>
      <c r="M6" s="33"/>
      <c r="N6" s="33">
        <f>$C$26*'E Balans VL '!Y12/100/3.6*1000000</f>
        <v>0.99818849375889396</v>
      </c>
      <c r="O6" s="33"/>
      <c r="P6" s="33"/>
      <c r="R6" s="32"/>
    </row>
    <row r="7" spans="1:18">
      <c r="A7" s="32" t="s">
        <v>52</v>
      </c>
      <c r="B7" s="37">
        <f t="shared" ref="B7:B12" si="0">B27</f>
        <v>957.77721499999996</v>
      </c>
      <c r="C7" s="33"/>
      <c r="D7" s="37">
        <f>IF(ISERROR(TER_horeca_gas_kWh/1000),0,TER_horeca_gas_kWh/1000)*0.902</f>
        <v>1440.312698</v>
      </c>
      <c r="E7" s="33">
        <f>$C$27*'E Balans VL '!I9/100/3.6*1000000</f>
        <v>10.284175399436755</v>
      </c>
      <c r="F7" s="33">
        <f>$C$27*('E Balans VL '!L9+'E Balans VL '!N9)/100/3.6*1000000</f>
        <v>115.19737411913319</v>
      </c>
      <c r="G7" s="34"/>
      <c r="H7" s="33"/>
      <c r="I7" s="33"/>
      <c r="J7" s="33">
        <f>$C$27*('E Balans VL '!D9+'E Balans VL '!E9)/100/3.6*1000000</f>
        <v>0</v>
      </c>
      <c r="K7" s="33"/>
      <c r="L7" s="33"/>
      <c r="M7" s="33"/>
      <c r="N7" s="33">
        <f>$C$27*'E Balans VL '!Y9/100/3.6*1000000</f>
        <v>0.143590216418956</v>
      </c>
      <c r="O7" s="33"/>
      <c r="P7" s="33"/>
      <c r="R7" s="32"/>
    </row>
    <row r="8" spans="1:18">
      <c r="A8" s="6" t="s">
        <v>51</v>
      </c>
      <c r="B8" s="37">
        <f t="shared" si="0"/>
        <v>4522.8713930000004</v>
      </c>
      <c r="C8" s="33"/>
      <c r="D8" s="37">
        <f>IF(ISERROR(TER_handel_gas_kWh/1000),0,TER_handel_gas_kWh/1000)*0.902</f>
        <v>4071.20406</v>
      </c>
      <c r="E8" s="33">
        <f>$C$28*'E Balans VL '!I13/100/3.6*1000000</f>
        <v>121.38002155167374</v>
      </c>
      <c r="F8" s="33">
        <f>$C$28*('E Balans VL '!L13+'E Balans VL '!N13)/100/3.6*1000000</f>
        <v>431.62132938288812</v>
      </c>
      <c r="G8" s="34"/>
      <c r="H8" s="33"/>
      <c r="I8" s="33"/>
      <c r="J8" s="33">
        <f>$C$28*('E Balans VL '!D13+'E Balans VL '!E13)/100/3.6*1000000</f>
        <v>0</v>
      </c>
      <c r="K8" s="33"/>
      <c r="L8" s="33"/>
      <c r="M8" s="33"/>
      <c r="N8" s="33">
        <f>$C$28*'E Balans VL '!Y13/100/3.6*1000000</f>
        <v>1.7929176469764185</v>
      </c>
      <c r="O8" s="33"/>
      <c r="P8" s="33"/>
      <c r="R8" s="32"/>
    </row>
    <row r="9" spans="1:18">
      <c r="A9" s="32" t="s">
        <v>50</v>
      </c>
      <c r="B9" s="37">
        <f t="shared" si="0"/>
        <v>604.01540800000009</v>
      </c>
      <c r="C9" s="33"/>
      <c r="D9" s="37">
        <f>IF(ISERROR(TER_gezond_gas_kWh/1000),0,TER_gezond_gas_kWh/1000)*0.902</f>
        <v>1958.2510010579999</v>
      </c>
      <c r="E9" s="33">
        <f>$C$29*'E Balans VL '!I10/100/3.6*1000000</f>
        <v>1.1321215505492619</v>
      </c>
      <c r="F9" s="33">
        <f>$C$29*('E Balans VL '!L10+'E Balans VL '!N10)/100/3.6*1000000</f>
        <v>49.655577753540548</v>
      </c>
      <c r="G9" s="34"/>
      <c r="H9" s="33"/>
      <c r="I9" s="33"/>
      <c r="J9" s="33">
        <f>$C$29*('E Balans VL '!D10+'E Balans VL '!E10)/100/3.6*1000000</f>
        <v>0</v>
      </c>
      <c r="K9" s="33"/>
      <c r="L9" s="33"/>
      <c r="M9" s="33"/>
      <c r="N9" s="33">
        <f>$C$29*'E Balans VL '!Y10/100/3.6*1000000</f>
        <v>4.6996905344883668</v>
      </c>
      <c r="O9" s="33"/>
      <c r="P9" s="33"/>
      <c r="R9" s="32"/>
    </row>
    <row r="10" spans="1:18">
      <c r="A10" s="32" t="s">
        <v>49</v>
      </c>
      <c r="B10" s="37">
        <f t="shared" si="0"/>
        <v>1778.8256429999999</v>
      </c>
      <c r="C10" s="33"/>
      <c r="D10" s="37">
        <f>IF(ISERROR(TER_ander_gas_kWh/1000),0,TER_ander_gas_kWh/1000)*0.902</f>
        <v>2505.5078922719999</v>
      </c>
      <c r="E10" s="33">
        <f>$C$30*'E Balans VL '!I14/100/3.6*1000000</f>
        <v>2.7420777532462375</v>
      </c>
      <c r="F10" s="33">
        <f>$C$30*('E Balans VL '!L14+'E Balans VL '!N14)/100/3.6*1000000</f>
        <v>276.16317214756731</v>
      </c>
      <c r="G10" s="34"/>
      <c r="H10" s="33"/>
      <c r="I10" s="33"/>
      <c r="J10" s="33">
        <f>$C$30*('E Balans VL '!D14+'E Balans VL '!E14)/100/3.6*1000000</f>
        <v>3.0197441283562682E-2</v>
      </c>
      <c r="K10" s="33"/>
      <c r="L10" s="33"/>
      <c r="M10" s="33"/>
      <c r="N10" s="33">
        <f>$C$30*'E Balans VL '!Y14/100/3.6*1000000</f>
        <v>1176.8140344748872</v>
      </c>
      <c r="O10" s="33"/>
      <c r="P10" s="33"/>
      <c r="R10" s="32"/>
    </row>
    <row r="11" spans="1:18">
      <c r="A11" s="32" t="s">
        <v>54</v>
      </c>
      <c r="B11" s="37">
        <f t="shared" si="0"/>
        <v>416.346</v>
      </c>
      <c r="C11" s="33"/>
      <c r="D11" s="37">
        <f>IF(ISERROR(TER_onderwijs_gas_kWh/1000),0,TER_onderwijs_gas_kWh/1000)*0.902</f>
        <v>1866.739576042</v>
      </c>
      <c r="E11" s="33">
        <f>$C$31*'E Balans VL '!I11/100/3.6*1000000</f>
        <v>10.619666666675798</v>
      </c>
      <c r="F11" s="33">
        <f>$C$31*('E Balans VL '!L11+'E Balans VL '!N11)/100/3.6*1000000</f>
        <v>50.069525297785049</v>
      </c>
      <c r="G11" s="34"/>
      <c r="H11" s="33"/>
      <c r="I11" s="33"/>
      <c r="J11" s="33">
        <f>$C$31*('E Balans VL '!D11+'E Balans VL '!E11)/100/3.6*1000000</f>
        <v>0</v>
      </c>
      <c r="K11" s="33"/>
      <c r="L11" s="33"/>
      <c r="M11" s="33"/>
      <c r="N11" s="33">
        <f>$C$31*'E Balans VL '!Y11/100/3.6*1000000</f>
        <v>0.92594334507006393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energieproductie'!N39+'lokale energieproductie'!N32</f>
        <v>855</v>
      </c>
      <c r="C13" s="245">
        <f ca="1">'lokale energieproductie'!O39+'lokale energieproductie'!O32</f>
        <v>1221.4285714285716</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-2442.8571428571431</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10992.100689999999</v>
      </c>
      <c r="C16" s="21">
        <f t="shared" ca="1" si="1"/>
        <v>1221.4285714285716</v>
      </c>
      <c r="D16" s="21">
        <f t="shared" ca="1" si="1"/>
        <v>15224.923472572</v>
      </c>
      <c r="E16" s="21">
        <f t="shared" si="1"/>
        <v>161.10287913995603</v>
      </c>
      <c r="F16" s="21">
        <f t="shared" ca="1" si="1"/>
        <v>1149.7771665432747</v>
      </c>
      <c r="G16" s="21">
        <f t="shared" si="1"/>
        <v>0</v>
      </c>
      <c r="H16" s="21">
        <f t="shared" si="1"/>
        <v>0</v>
      </c>
      <c r="I16" s="21">
        <f t="shared" si="1"/>
        <v>0</v>
      </c>
      <c r="J16" s="21">
        <f t="shared" si="1"/>
        <v>3.0197441283562682E-2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5.0821794753391367E-2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558.63828517579157</v>
      </c>
      <c r="C20" s="23">
        <f t="shared" ref="C20:P20" ca="1" si="2">C16*C18</f>
        <v>0</v>
      </c>
      <c r="D20" s="23">
        <f t="shared" ca="1" si="2"/>
        <v>3075.4345414595441</v>
      </c>
      <c r="E20" s="23">
        <f t="shared" si="2"/>
        <v>36.570353564770024</v>
      </c>
      <c r="F20" s="23">
        <f t="shared" ca="1" si="2"/>
        <v>306.99050346705434</v>
      </c>
      <c r="G20" s="23">
        <f t="shared" si="2"/>
        <v>0</v>
      </c>
      <c r="H20" s="23">
        <f t="shared" si="2"/>
        <v>0</v>
      </c>
      <c r="I20" s="23">
        <f t="shared" si="2"/>
        <v>0</v>
      </c>
      <c r="J20" s="23">
        <f t="shared" si="2"/>
        <v>1.0689894214381188E-2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1857.2650309999999</v>
      </c>
      <c r="C26" s="39">
        <f>IF(ISERROR(B26*3.6/1000000/'E Balans VL '!Z12*100),0,B26*3.6/1000000/'E Balans VL '!Z12*100)</f>
        <v>3.9400178430287272E-2</v>
      </c>
      <c r="D26" s="235" t="s">
        <v>698</v>
      </c>
      <c r="F26" s="6"/>
    </row>
    <row r="27" spans="1:18">
      <c r="A27" s="229" t="s">
        <v>52</v>
      </c>
      <c r="B27" s="33">
        <f>IF(ISERROR(TER_horeca_ele_kWh/1000),0,TER_horeca_ele_kWh/1000)</f>
        <v>957.77721499999996</v>
      </c>
      <c r="C27" s="39">
        <f>IF(ISERROR(B27*3.6/1000000/'E Balans VL '!Z9*100),0,B27*3.6/1000000/'E Balans VL '!Z9*100)</f>
        <v>7.2129108765239786E-2</v>
      </c>
      <c r="D27" s="235" t="s">
        <v>698</v>
      </c>
      <c r="F27" s="6"/>
    </row>
    <row r="28" spans="1:18">
      <c r="A28" s="169" t="s">
        <v>51</v>
      </c>
      <c r="B28" s="33">
        <f>IF(ISERROR(TER_handel_ele_kWh/1000),0,TER_handel_ele_kWh/1000)</f>
        <v>4522.8713930000004</v>
      </c>
      <c r="C28" s="39">
        <f>IF(ISERROR(B28*3.6/1000000/'E Balans VL '!Z13*100),0,B28*3.6/1000000/'E Balans VL '!Z13*100)</f>
        <v>0.1312829307550841</v>
      </c>
      <c r="D28" s="235" t="s">
        <v>698</v>
      </c>
      <c r="F28" s="6"/>
    </row>
    <row r="29" spans="1:18">
      <c r="A29" s="229" t="s">
        <v>50</v>
      </c>
      <c r="B29" s="33">
        <f>IF(ISERROR(TER_gezond_ele_kWh/1000),0,TER_gezond_ele_kWh/1000)</f>
        <v>604.01540800000009</v>
      </c>
      <c r="C29" s="39">
        <f>IF(ISERROR(B29*3.6/1000000/'E Balans VL '!Z10*100),0,B29*3.6/1000000/'E Balans VL '!Z10*100)</f>
        <v>6.0915674214511946E-2</v>
      </c>
      <c r="D29" s="235" t="s">
        <v>698</v>
      </c>
      <c r="F29" s="6"/>
    </row>
    <row r="30" spans="1:18">
      <c r="A30" s="229" t="s">
        <v>49</v>
      </c>
      <c r="B30" s="33">
        <f>IF(ISERROR(TER_ander_ele_kWh/1000),0,TER_ander_ele_kWh/1000)</f>
        <v>1778.8256429999999</v>
      </c>
      <c r="C30" s="39">
        <f>IF(ISERROR(B30*3.6/1000000/'E Balans VL '!Z14*100),0,B30*3.6/1000000/'E Balans VL '!Z14*100)</f>
        <v>0.1290780680310141</v>
      </c>
      <c r="D30" s="235" t="s">
        <v>698</v>
      </c>
      <c r="F30" s="6"/>
    </row>
    <row r="31" spans="1:18">
      <c r="A31" s="229" t="s">
        <v>54</v>
      </c>
      <c r="B31" s="33">
        <f>IF(ISERROR(TER_onderwijs_ele_kWh/1000),0,TER_onderwijs_ele_kWh/1000)</f>
        <v>416.346</v>
      </c>
      <c r="C31" s="39">
        <f>IF(ISERROR(B31*3.6/1000000/'E Balans VL '!Z11*100),0,B31*3.6/1000000/'E Balans VL '!Z11*100)</f>
        <v>0.11867556439857829</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4802.6745959999989</v>
      </c>
      <c r="C5" s="17">
        <f>IF(ISERROR('Eigen informatie GS &amp; warmtenet'!B61),0,'Eigen informatie GS &amp; warmtenet'!B61)</f>
        <v>0</v>
      </c>
      <c r="D5" s="30">
        <f>SUM(D6:D15)</f>
        <v>8700.8026627719992</v>
      </c>
      <c r="E5" s="17">
        <f>SUM(E6:E15)</f>
        <v>795.44875551595214</v>
      </c>
      <c r="F5" s="17">
        <f>SUM(F6:F15)</f>
        <v>2653.0106481353464</v>
      </c>
      <c r="G5" s="18"/>
      <c r="H5" s="17"/>
      <c r="I5" s="17"/>
      <c r="J5" s="17">
        <f>SUM(J6:J15)</f>
        <v>21.61899848621611</v>
      </c>
      <c r="K5" s="17"/>
      <c r="L5" s="17"/>
      <c r="M5" s="17"/>
      <c r="N5" s="17">
        <f>SUM(N6:N15)</f>
        <v>437.92796911226117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473.35199999999998</v>
      </c>
      <c r="C8" s="33"/>
      <c r="D8" s="37">
        <f>IF( ISERROR(IND_metaal_Gas_kWH/1000),0,IND_metaal_Gas_kWH/1000)*0.902</f>
        <v>615.36695000000009</v>
      </c>
      <c r="E8" s="33">
        <f>C30*'E Balans VL '!I18/100/3.6*1000000</f>
        <v>3.4149024505163772</v>
      </c>
      <c r="F8" s="33">
        <f>C30*'E Balans VL '!L18/100/3.6*1000000+C30*'E Balans VL '!N18/100/3.6*1000000</f>
        <v>44.770371200518213</v>
      </c>
      <c r="G8" s="34"/>
      <c r="H8" s="33"/>
      <c r="I8" s="33"/>
      <c r="J8" s="40">
        <f>C30*'E Balans VL '!D18/100/3.6*1000000+C30*'E Balans VL '!E18/100/3.6*1000000</f>
        <v>0.47610019234225104</v>
      </c>
      <c r="K8" s="33"/>
      <c r="L8" s="33"/>
      <c r="M8" s="33"/>
      <c r="N8" s="33">
        <f>C30*'E Balans VL '!Y18/100/3.6*1000000</f>
        <v>5.9844216457503725</v>
      </c>
      <c r="O8" s="33"/>
      <c r="P8" s="33"/>
      <c r="R8" s="32"/>
    </row>
    <row r="9" spans="1:18">
      <c r="A9" s="6" t="s">
        <v>32</v>
      </c>
      <c r="B9" s="37">
        <f t="shared" si="0"/>
        <v>2723.6262140000003</v>
      </c>
      <c r="C9" s="33"/>
      <c r="D9" s="37">
        <f>IF( ISERROR(IND_andere_gas_kWh/1000),0,IND_andere_gas_kWh/1000)*0.902</f>
        <v>6671.8546867719997</v>
      </c>
      <c r="E9" s="33">
        <f>C31*'E Balans VL '!I19/100/3.6*1000000</f>
        <v>754.75324334459037</v>
      </c>
      <c r="F9" s="33">
        <f>C31*'E Balans VL '!L19/100/3.6*1000000+C31*'E Balans VL '!N19/100/3.6*1000000</f>
        <v>2257.3472919648102</v>
      </c>
      <c r="G9" s="34"/>
      <c r="H9" s="33"/>
      <c r="I9" s="33"/>
      <c r="J9" s="40">
        <f>C31*'E Balans VL '!D19/100/3.6*1000000+C31*'E Balans VL '!E19/100/3.6*1000000</f>
        <v>0</v>
      </c>
      <c r="K9" s="33"/>
      <c r="L9" s="33"/>
      <c r="M9" s="33"/>
      <c r="N9" s="33">
        <f>C31*'E Balans VL '!Y19/100/3.6*1000000</f>
        <v>197.7019495813351</v>
      </c>
      <c r="O9" s="33"/>
      <c r="P9" s="33"/>
      <c r="R9" s="32"/>
    </row>
    <row r="10" spans="1:18">
      <c r="A10" s="6" t="s">
        <v>40</v>
      </c>
      <c r="B10" s="37">
        <f t="shared" si="0"/>
        <v>600.22838200000001</v>
      </c>
      <c r="C10" s="33"/>
      <c r="D10" s="37">
        <f>IF( ISERROR(IND_voed_gas_kWh/1000),0,IND_voed_gas_kWh/1000)*0.902</f>
        <v>511.19046000000003</v>
      </c>
      <c r="E10" s="33">
        <f>C32*'E Balans VL '!I20/100/3.6*1000000</f>
        <v>1.0626075465277944</v>
      </c>
      <c r="F10" s="33">
        <f>C32*'E Balans VL '!L20/100/3.6*1000000+C32*'E Balans VL '!N20/100/3.6*1000000</f>
        <v>32.417652404430491</v>
      </c>
      <c r="G10" s="34"/>
      <c r="H10" s="33"/>
      <c r="I10" s="33"/>
      <c r="J10" s="40">
        <f>C32*'E Balans VL '!D20/100/3.6*1000000+C32*'E Balans VL '!E20/100/3.6*1000000</f>
        <v>0</v>
      </c>
      <c r="K10" s="33"/>
      <c r="L10" s="33"/>
      <c r="M10" s="33"/>
      <c r="N10" s="33">
        <f>C32*'E Balans VL '!Y20/100/3.6*1000000</f>
        <v>34.877852995474065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804.16800000000001</v>
      </c>
      <c r="C12" s="33"/>
      <c r="D12" s="37">
        <f>IF( ISERROR(IND_min_gas_kWh/1000),0,IND_min_gas_kWh/1000)*0.902</f>
        <v>577.587582</v>
      </c>
      <c r="E12" s="33">
        <f>C34*'E Balans VL '!I22/100/3.6*1000000</f>
        <v>35.412690225414003</v>
      </c>
      <c r="F12" s="33">
        <f>C34*'E Balans VL '!L22/100/3.6*1000000+C34*'E Balans VL '!N22/100/3.6*1000000</f>
        <v>314.46216477467755</v>
      </c>
      <c r="G12" s="34"/>
      <c r="H12" s="33"/>
      <c r="I12" s="33"/>
      <c r="J12" s="40">
        <f>C34*'E Balans VL '!D22/100/3.6*1000000+C34*'E Balans VL '!E22/100/3.6*1000000</f>
        <v>0.24417398168267149</v>
      </c>
      <c r="K12" s="33"/>
      <c r="L12" s="33"/>
      <c r="M12" s="33"/>
      <c r="N12" s="33">
        <f>C34*'E Balans VL '!Y22/100/3.6*1000000</f>
        <v>198.92679282443353</v>
      </c>
      <c r="O12" s="33"/>
      <c r="P12" s="33"/>
      <c r="R12" s="32"/>
    </row>
    <row r="13" spans="1:18">
      <c r="A13" s="6" t="s">
        <v>38</v>
      </c>
      <c r="B13" s="37">
        <f t="shared" si="0"/>
        <v>190.18100000000001</v>
      </c>
      <c r="C13" s="33"/>
      <c r="D13" s="37">
        <f>IF( ISERROR(IND_papier_gas_kWh/1000),0,IND_papier_gas_kWh/1000)*0.902</f>
        <v>306.20284200000003</v>
      </c>
      <c r="E13" s="33">
        <f>C35*'E Balans VL '!I23/100/3.6*1000000</f>
        <v>0.27982155538526787</v>
      </c>
      <c r="F13" s="33">
        <f>C35*'E Balans VL '!L23/100/3.6*1000000+C35*'E Balans VL '!N23/100/3.6*1000000</f>
        <v>2.0363262627165155</v>
      </c>
      <c r="G13" s="34"/>
      <c r="H13" s="33"/>
      <c r="I13" s="33"/>
      <c r="J13" s="40">
        <f>C35*'E Balans VL '!D23/100/3.6*1000000+C35*'E Balans VL '!E23/100/3.6*1000000</f>
        <v>20.806867879240038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11.119</v>
      </c>
      <c r="C15" s="33"/>
      <c r="D15" s="37">
        <f>IF( ISERROR(IND_rest_gas_kWh/1000),0,IND_rest_gas_kWh/1000)*0.902</f>
        <v>18.600141999999998</v>
      </c>
      <c r="E15" s="33">
        <f>C37*'E Balans VL '!I15/100/3.6*1000000</f>
        <v>0.52549039351819182</v>
      </c>
      <c r="F15" s="33">
        <f>C37*'E Balans VL '!L15/100/3.6*1000000+C37*'E Balans VL '!N15/100/3.6*1000000</f>
        <v>1.9768415281934859</v>
      </c>
      <c r="G15" s="34"/>
      <c r="H15" s="33"/>
      <c r="I15" s="33"/>
      <c r="J15" s="40">
        <f>C37*'E Balans VL '!D15/100/3.6*1000000+C37*'E Balans VL '!E15/100/3.6*1000000</f>
        <v>9.1856432951151618E-2</v>
      </c>
      <c r="K15" s="33"/>
      <c r="L15" s="33"/>
      <c r="M15" s="33"/>
      <c r="N15" s="33">
        <f>C37*'E Balans VL '!Y15/100/3.6*1000000</f>
        <v>0.43695206526809954</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4802.6745959999989</v>
      </c>
      <c r="C18" s="21">
        <f>C5+C16</f>
        <v>0</v>
      </c>
      <c r="D18" s="21">
        <f>MAX((D5+D16),0)</f>
        <v>8700.8026627719992</v>
      </c>
      <c r="E18" s="21">
        <f>MAX((E5+E16),0)</f>
        <v>795.44875551595214</v>
      </c>
      <c r="F18" s="21">
        <f>MAX((F5+F16),0)</f>
        <v>2653.0106481353464</v>
      </c>
      <c r="G18" s="21"/>
      <c r="H18" s="21"/>
      <c r="I18" s="21"/>
      <c r="J18" s="21">
        <f>MAX((J5+J16),0)</f>
        <v>21.61899848621611</v>
      </c>
      <c r="K18" s="21"/>
      <c r="L18" s="21">
        <f>MAX((L5+L16),0)</f>
        <v>0</v>
      </c>
      <c r="M18" s="21"/>
      <c r="N18" s="21">
        <f>MAX((N5+N16),0)</f>
        <v>437.92796911226117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5.0821794753391367E-2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244.08054258523876</v>
      </c>
      <c r="C22" s="23">
        <f ca="1">C18*C20</f>
        <v>0</v>
      </c>
      <c r="D22" s="23">
        <f>D18*D20</f>
        <v>1757.562137879944</v>
      </c>
      <c r="E22" s="23">
        <f>E18*E20</f>
        <v>180.56686750212114</v>
      </c>
      <c r="F22" s="23">
        <f>F18*F20</f>
        <v>708.35384305213756</v>
      </c>
      <c r="G22" s="23"/>
      <c r="H22" s="23"/>
      <c r="I22" s="23"/>
      <c r="J22" s="23">
        <f>J18*J20</f>
        <v>7.6531254641205031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473.35199999999998</v>
      </c>
      <c r="C30" s="39">
        <f>IF(ISERROR(B30*3.6/1000000/'E Balans VL '!Z18*100),0,B30*3.6/1000000/'E Balans VL '!Z18*100)</f>
        <v>2.7325872366310747E-2</v>
      </c>
      <c r="D30" s="235" t="s">
        <v>698</v>
      </c>
    </row>
    <row r="31" spans="1:18">
      <c r="A31" s="6" t="s">
        <v>32</v>
      </c>
      <c r="B31" s="37">
        <f>IF( ISERROR(IND_ander_ele_kWh/1000),0,IND_ander_ele_kWh/1000)</f>
        <v>2723.6262140000003</v>
      </c>
      <c r="C31" s="39">
        <f>IF(ISERROR(B31*3.6/1000000/'E Balans VL '!Z19*100),0,B31*3.6/1000000/'E Balans VL '!Z19*100)</f>
        <v>0.13698957027166742</v>
      </c>
      <c r="D31" s="235" t="s">
        <v>698</v>
      </c>
    </row>
    <row r="32" spans="1:18">
      <c r="A32" s="169" t="s">
        <v>40</v>
      </c>
      <c r="B32" s="37">
        <f>IF( ISERROR(IND_voed_ele_kWh/1000),0,IND_voed_ele_kWh/1000)</f>
        <v>600.22838200000001</v>
      </c>
      <c r="C32" s="39">
        <f>IF(ISERROR(B32*3.6/1000000/'E Balans VL '!Z20*100),0,B32*3.6/1000000/'E Balans VL '!Z20*100)</f>
        <v>1.9991169425640196E-2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804.16800000000001</v>
      </c>
      <c r="C34" s="39">
        <f>IF(ISERROR(B34*3.6/1000000/'E Balans VL '!Z22*100),0,B34*3.6/1000000/'E Balans VL '!Z22*100)</f>
        <v>0.15000449386647968</v>
      </c>
      <c r="D34" s="235" t="s">
        <v>698</v>
      </c>
    </row>
    <row r="35" spans="1:5">
      <c r="A35" s="169" t="s">
        <v>38</v>
      </c>
      <c r="B35" s="37">
        <f>IF( ISERROR(IND_papier_ele_kWh/1000),0,IND_papier_ele_kWh/1000)</f>
        <v>190.18100000000001</v>
      </c>
      <c r="C35" s="39">
        <f>IF(ISERROR(B35*3.6/1000000/'E Balans VL '!Z22*100),0,B35*3.6/1000000/'E Balans VL '!Z22*100)</f>
        <v>3.5475180121592717E-2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11.119</v>
      </c>
      <c r="C37" s="39">
        <f>IF(ISERROR(B37*3.6/1000000/'E Balans VL '!Z15*100),0,B37*3.6/1000000/'E Balans VL '!Z15*100)</f>
        <v>8.6758606364236191E-5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2710.3968930000001</v>
      </c>
      <c r="C5" s="17">
        <f>'Eigen informatie GS &amp; warmtenet'!B62</f>
        <v>0</v>
      </c>
      <c r="D5" s="30">
        <f>IF(ISERROR(SUM(LB_lb_gas_kWh,LB_rest_gas_kWh)/1000),0,SUM(LB_lb_gas_kWh,LB_rest_gas_kWh)/1000)*0.902</f>
        <v>355.42317800000001</v>
      </c>
      <c r="E5" s="17">
        <f>B17*'E Balans VL '!I25/3.6*1000000/100</f>
        <v>84.590593251898298</v>
      </c>
      <c r="F5" s="17">
        <f>B17*('E Balans VL '!L25/3.6*1000000+'E Balans VL '!N25/3.6*1000000)/100</f>
        <v>9578.8428695302755</v>
      </c>
      <c r="G5" s="18"/>
      <c r="H5" s="17"/>
      <c r="I5" s="17"/>
      <c r="J5" s="17">
        <f>('E Balans VL '!D25+'E Balans VL '!E25)/3.6*1000000*landbouw!B17/100</f>
        <v>746.73314045922234</v>
      </c>
      <c r="K5" s="17"/>
      <c r="L5" s="17">
        <f>L6*(-1)</f>
        <v>1012.5</v>
      </c>
      <c r="M5" s="17"/>
      <c r="N5" s="17">
        <f>N6*(-1)</f>
        <v>124.71428571428569</v>
      </c>
      <c r="O5" s="17"/>
      <c r="P5" s="17"/>
      <c r="R5" s="32"/>
    </row>
    <row r="6" spans="1:18">
      <c r="A6" s="16" t="s">
        <v>471</v>
      </c>
      <c r="B6" s="17" t="s">
        <v>210</v>
      </c>
      <c r="C6" s="17">
        <f>'lokale energieproductie'!O40+'lokale energieproductie'!O33</f>
        <v>62.357142857142847</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-1012.5</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2710.3968930000001</v>
      </c>
      <c r="C8" s="21">
        <f>C5+C6</f>
        <v>62.357142857142847</v>
      </c>
      <c r="D8" s="21">
        <f>MAX((D5+D6),0)</f>
        <v>355.42317800000001</v>
      </c>
      <c r="E8" s="21">
        <f>MAX((E5+E6),0)</f>
        <v>84.590593251898298</v>
      </c>
      <c r="F8" s="21">
        <f>MAX((F5+F6),0)</f>
        <v>9578.8428695302755</v>
      </c>
      <c r="G8" s="21"/>
      <c r="H8" s="21"/>
      <c r="I8" s="21"/>
      <c r="J8" s="21">
        <f>MAX((J5+J6),0)</f>
        <v>746.73314045922234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5.0821794753391367E-2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137.74723459627566</v>
      </c>
      <c r="C12" s="23">
        <f ca="1">C8*C10</f>
        <v>0</v>
      </c>
      <c r="D12" s="23">
        <f>D8*D10</f>
        <v>71.795481956000003</v>
      </c>
      <c r="E12" s="23">
        <f>E8*E10</f>
        <v>19.202064668180913</v>
      </c>
      <c r="F12" s="23">
        <f>F8*F10</f>
        <v>2557.5510461645836</v>
      </c>
      <c r="G12" s="23"/>
      <c r="H12" s="23"/>
      <c r="I12" s="23"/>
      <c r="J12" s="23">
        <f>J8*J10</f>
        <v>264.34353172256471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0.40291992810982774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486.06936792224298</v>
      </c>
      <c r="C26" s="245">
        <f>B26*'GWP N2O_CH4'!B5</f>
        <v>10207.456726367103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191.16593235125927</v>
      </c>
      <c r="C27" s="245">
        <f>B27*'GWP N2O_CH4'!B5</f>
        <v>4014.4845793764448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6.7314731362895293</v>
      </c>
      <c r="C28" s="245">
        <f>B28*'GWP N2O_CH4'!B4</f>
        <v>2086.756672249754</v>
      </c>
      <c r="D28" s="50"/>
    </row>
    <row r="29" spans="1:4">
      <c r="A29" s="41" t="s">
        <v>271</v>
      </c>
      <c r="B29" s="245">
        <f>B34*'ha_N2O bodem landbouw'!B4</f>
        <v>21.290635818843761</v>
      </c>
      <c r="C29" s="245">
        <f>B29*'GWP N2O_CH4'!B4</f>
        <v>6600.0971038415655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4.6686531057936066E-3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6.240144156067196E-4</v>
      </c>
      <c r="C5" s="433" t="s">
        <v>210</v>
      </c>
      <c r="D5" s="418">
        <f>SUM(D6:D11)</f>
        <v>9.2328374444419043E-4</v>
      </c>
      <c r="E5" s="418">
        <f>SUM(E6:E11)</f>
        <v>9.1516050042202634E-4</v>
      </c>
      <c r="F5" s="431" t="s">
        <v>210</v>
      </c>
      <c r="G5" s="418">
        <f>SUM(G6:G11)</f>
        <v>0.55946870207902699</v>
      </c>
      <c r="H5" s="418">
        <f>SUM(H6:H11)</f>
        <v>8.4580937752985585E-2</v>
      </c>
      <c r="I5" s="433" t="s">
        <v>210</v>
      </c>
      <c r="J5" s="433" t="s">
        <v>210</v>
      </c>
      <c r="K5" s="433" t="s">
        <v>210</v>
      </c>
      <c r="L5" s="433" t="s">
        <v>210</v>
      </c>
      <c r="M5" s="418">
        <f>SUM(M6:M11)</f>
        <v>3.7848844433659073E-2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1.5571859286153122E-4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2.6286812613419595E-4</v>
      </c>
      <c r="E6" s="884">
        <f>vkm_GW_PW*SUMIFS(TableVerdeelsleutelVkm[LPG],TableVerdeelsleutelVkm[Voertuigtype],"Lichte voertuigen")*SUMIFS(TableECFTransport[EnergieConsumptieFactor (PJ per km)],TableECFTransport[Index],CONCATENATE($A6,"_LPG_LPG"))</f>
        <v>2.3034409176052271E-4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7.1955020588554963E-2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2.3447881391183457E-2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5.7001176609078035E-3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1.3393472539171809E-6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5.1119139287932193E-2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7.1057242353778338E-7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2.9466288474949295E-3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3.9282140661063154E-5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8.4672172251289761E-5</v>
      </c>
      <c r="E8" s="421">
        <f>vkm_NGW_PW*SUMIFS(TableVerdeelsleutelVkm[LPG],TableVerdeelsleutelVkm[Voertuigtype],"Lichte voertuigen")*SUMIFS(TableECFTransport[EnergieConsumptieFactor (PJ per km)],TableECFTransport[Index],CONCATENATE($A8,"_LPG_LPG"))</f>
        <v>7.1074828451056892E-5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2.0513054807847479E-2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7.4432833085764224E-3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1.6752352298826988E-3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1.8156465024014628E-7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8.9088127983306068E-3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1.1626872260046341E-7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5.1352467086641332E-4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4.2107673819819955E-4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5.7574344605870471E-4</v>
      </c>
      <c r="E10" s="421">
        <f>vkm_SW_PW*SUMIFS(TableVerdeelsleutelVkm[LPG],TableVerdeelsleutelVkm[Voertuigtype],"Lichte voertuigen")*SUMIFS(TableECFTransport[EnergieConsumptieFactor (PJ per km)],TableECFTransport[Index],CONCATENATE($A10,"_LPG_LPG"))</f>
        <v>6.1374158021044675E-4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0.17471361337963393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5.3685442631447325E-2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1.3625354765170076E-2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6.4160319817682825E-6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0.23225906121672785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3.5035806322388648E-6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1.3387983259337152E-2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173.33733766853322</v>
      </c>
      <c r="C14" s="21"/>
      <c r="D14" s="21">
        <f t="shared" ref="D14:M14" si="0">((D5)*10^9/3600)+D12</f>
        <v>256.46770679005289</v>
      </c>
      <c r="E14" s="21">
        <f t="shared" si="0"/>
        <v>254.21125011722955</v>
      </c>
      <c r="F14" s="21"/>
      <c r="G14" s="21">
        <f t="shared" si="0"/>
        <v>155407.9727997297</v>
      </c>
      <c r="H14" s="21">
        <f t="shared" si="0"/>
        <v>23494.704931384884</v>
      </c>
      <c r="I14" s="21"/>
      <c r="J14" s="21"/>
      <c r="K14" s="21"/>
      <c r="L14" s="21"/>
      <c r="M14" s="21">
        <f t="shared" si="0"/>
        <v>10513.567898238633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5.0821794753391367E-2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8.8093145980894896</v>
      </c>
      <c r="C18" s="23"/>
      <c r="D18" s="23">
        <f t="shared" ref="D18:M18" si="1">D14*D16</f>
        <v>51.806476771590688</v>
      </c>
      <c r="E18" s="23">
        <f t="shared" si="1"/>
        <v>57.705953776611111</v>
      </c>
      <c r="F18" s="23"/>
      <c r="G18" s="23">
        <f t="shared" si="1"/>
        <v>41493.928737527829</v>
      </c>
      <c r="H18" s="23">
        <f t="shared" si="1"/>
        <v>5850.1815279148359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6.3691736858688606E-5</v>
      </c>
      <c r="C50" s="315">
        <f t="shared" ref="C50:P50" si="2">SUM(C51:C52)</f>
        <v>0</v>
      </c>
      <c r="D50" s="315">
        <f t="shared" si="2"/>
        <v>0</v>
      </c>
      <c r="E50" s="315">
        <f t="shared" si="2"/>
        <v>0</v>
      </c>
      <c r="F50" s="315">
        <f t="shared" si="2"/>
        <v>0</v>
      </c>
      <c r="G50" s="315">
        <f t="shared" si="2"/>
        <v>4.6145622632734543E-3</v>
      </c>
      <c r="H50" s="315">
        <f t="shared" si="2"/>
        <v>0</v>
      </c>
      <c r="I50" s="315">
        <f t="shared" si="2"/>
        <v>0</v>
      </c>
      <c r="J50" s="315">
        <f t="shared" si="2"/>
        <v>0</v>
      </c>
      <c r="K50" s="315">
        <f t="shared" si="2"/>
        <v>0</v>
      </c>
      <c r="L50" s="315">
        <f t="shared" si="2"/>
        <v>0</v>
      </c>
      <c r="M50" s="315">
        <f t="shared" si="2"/>
        <v>2.6101338378199939E-4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6.3691736858688606E-5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4.6145622632734543E-3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2.6101338378199939E-4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17.692149127413501</v>
      </c>
      <c r="C54" s="21">
        <f t="shared" ref="C54:P54" si="3">(C50)*10^9/3600</f>
        <v>0</v>
      </c>
      <c r="D54" s="21">
        <f t="shared" si="3"/>
        <v>0</v>
      </c>
      <c r="E54" s="21">
        <f t="shared" si="3"/>
        <v>0</v>
      </c>
      <c r="F54" s="21">
        <f t="shared" si="3"/>
        <v>0</v>
      </c>
      <c r="G54" s="21">
        <f t="shared" si="3"/>
        <v>1281.8228509092928</v>
      </c>
      <c r="H54" s="21">
        <f t="shared" si="3"/>
        <v>0</v>
      </c>
      <c r="I54" s="21">
        <f t="shared" si="3"/>
        <v>0</v>
      </c>
      <c r="J54" s="21">
        <f t="shared" si="3"/>
        <v>0</v>
      </c>
      <c r="K54" s="21">
        <f t="shared" si="3"/>
        <v>0</v>
      </c>
      <c r="L54" s="21">
        <f t="shared" si="3"/>
        <v>0</v>
      </c>
      <c r="M54" s="21">
        <f t="shared" si="3"/>
        <v>72.503717717222045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5.0821794753391367E-2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0.89914677169980106</v>
      </c>
      <c r="C58" s="23">
        <f t="shared" ref="C58:P58" ca="1" si="4">C54*C56</f>
        <v>0</v>
      </c>
      <c r="D58" s="23">
        <f t="shared" si="4"/>
        <v>0</v>
      </c>
      <c r="E58" s="23">
        <f t="shared" si="4"/>
        <v>0</v>
      </c>
      <c r="F58" s="23">
        <f t="shared" si="4"/>
        <v>0</v>
      </c>
      <c r="G58" s="23">
        <f t="shared" si="4"/>
        <v>342.24670119278119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24410.562225830294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5510.063398223987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898.65</v>
      </c>
      <c r="C8" s="543">
        <f>B49</f>
        <v>0</v>
      </c>
      <c r="D8" s="544"/>
      <c r="E8" s="544">
        <f>E49</f>
        <v>0</v>
      </c>
      <c r="F8" s="545"/>
      <c r="G8" s="546"/>
      <c r="H8" s="544">
        <f>I49</f>
        <v>0</v>
      </c>
      <c r="I8" s="544">
        <f>G49+F49</f>
        <v>0</v>
      </c>
      <c r="J8" s="544">
        <f>H49+D49+C49</f>
        <v>1057.2352941176471</v>
      </c>
      <c r="K8" s="544"/>
      <c r="L8" s="544"/>
      <c r="M8" s="544"/>
      <c r="N8" s="547"/>
      <c r="O8" s="548">
        <f>C8*$C$12+D8*$D$12+E8*$E$12+F8*$F$12+G8*$G$12+H8*$H$12+I8*$I$12+J8*$J$12</f>
        <v>0</v>
      </c>
      <c r="P8" s="1244"/>
      <c r="Q8" s="1245"/>
      <c r="S8" s="538"/>
      <c r="T8" s="1232"/>
      <c r="U8" s="1232"/>
    </row>
    <row r="9" spans="1:21" s="529" customFormat="1" ht="17.45" customHeight="1" thickBot="1">
      <c r="A9" s="549" t="s">
        <v>242</v>
      </c>
      <c r="B9" s="550">
        <f>N37+'Eigen informatie GS &amp; warmtenet'!B12</f>
        <v>405</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31224.27562405428</v>
      </c>
      <c r="C10" s="558">
        <f t="shared" ref="C10:L10" si="0">SUM(C8:C9)</f>
        <v>0</v>
      </c>
      <c r="D10" s="558">
        <f t="shared" si="0"/>
        <v>0</v>
      </c>
      <c r="E10" s="558">
        <f t="shared" si="0"/>
        <v>0</v>
      </c>
      <c r="F10" s="558">
        <f t="shared" si="0"/>
        <v>0</v>
      </c>
      <c r="G10" s="558">
        <f t="shared" si="0"/>
        <v>0</v>
      </c>
      <c r="H10" s="558">
        <f t="shared" si="0"/>
        <v>0</v>
      </c>
      <c r="I10" s="558">
        <f t="shared" si="0"/>
        <v>1012.5</v>
      </c>
      <c r="J10" s="558">
        <f t="shared" si="0"/>
        <v>1057.2352941176471</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1283.7857142857144</v>
      </c>
      <c r="C17" s="574">
        <f>B50</f>
        <v>0</v>
      </c>
      <c r="D17" s="575"/>
      <c r="E17" s="575">
        <f>E50</f>
        <v>0</v>
      </c>
      <c r="F17" s="576"/>
      <c r="G17" s="577"/>
      <c r="H17" s="574">
        <f>I50</f>
        <v>0</v>
      </c>
      <c r="I17" s="575">
        <f>G50+F50</f>
        <v>0</v>
      </c>
      <c r="J17" s="575">
        <f>H50+D50+C50</f>
        <v>1510.3361344537818</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1283.7857142857144</v>
      </c>
      <c r="C20" s="557">
        <f>SUM(C17:C19)</f>
        <v>0</v>
      </c>
      <c r="D20" s="557">
        <f t="shared" ref="D20:L20" si="1">SUM(D17:D19)</f>
        <v>0</v>
      </c>
      <c r="E20" s="557">
        <f t="shared" si="1"/>
        <v>0</v>
      </c>
      <c r="F20" s="557">
        <f t="shared" si="1"/>
        <v>0</v>
      </c>
      <c r="G20" s="557">
        <f t="shared" si="1"/>
        <v>0</v>
      </c>
      <c r="H20" s="557">
        <f t="shared" si="1"/>
        <v>0</v>
      </c>
      <c r="I20" s="557">
        <f t="shared" si="1"/>
        <v>0</v>
      </c>
      <c r="J20" s="557">
        <f t="shared" si="1"/>
        <v>1510.3361344537818</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35005</v>
      </c>
      <c r="C28" s="785">
        <v>8470</v>
      </c>
      <c r="D28" s="635" t="s">
        <v>906</v>
      </c>
      <c r="E28" s="634" t="s">
        <v>907</v>
      </c>
      <c r="F28" s="634" t="s">
        <v>908</v>
      </c>
      <c r="G28" s="634" t="s">
        <v>909</v>
      </c>
      <c r="H28" s="634" t="s">
        <v>910</v>
      </c>
      <c r="I28" s="634" t="s">
        <v>907</v>
      </c>
      <c r="J28" s="784">
        <v>41117</v>
      </c>
      <c r="K28" s="784">
        <v>41275</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25.5">
      <c r="A29" s="587"/>
      <c r="B29" s="785">
        <v>35005</v>
      </c>
      <c r="C29" s="785">
        <v>8470</v>
      </c>
      <c r="D29" s="635" t="s">
        <v>912</v>
      </c>
      <c r="E29" s="634" t="s">
        <v>913</v>
      </c>
      <c r="F29" s="634" t="s">
        <v>914</v>
      </c>
      <c r="G29" s="634" t="s">
        <v>909</v>
      </c>
      <c r="H29" s="634" t="s">
        <v>910</v>
      </c>
      <c r="I29" s="634" t="s">
        <v>915</v>
      </c>
      <c r="J29" s="784">
        <v>41400</v>
      </c>
      <c r="K29" s="784">
        <v>41400</v>
      </c>
      <c r="L29" s="634" t="s">
        <v>911</v>
      </c>
      <c r="M29" s="634">
        <v>190</v>
      </c>
      <c r="N29" s="634">
        <v>855</v>
      </c>
      <c r="O29" s="634">
        <v>1221.4285714285716</v>
      </c>
      <c r="P29" s="634">
        <v>0</v>
      </c>
      <c r="Q29" s="634">
        <v>2442.8571428571431</v>
      </c>
      <c r="R29" s="634">
        <v>0</v>
      </c>
      <c r="S29" s="634">
        <v>0</v>
      </c>
      <c r="T29" s="634">
        <v>0</v>
      </c>
      <c r="U29" s="634">
        <v>0</v>
      </c>
      <c r="V29" s="634">
        <v>0</v>
      </c>
      <c r="W29" s="634">
        <v>0</v>
      </c>
      <c r="X29" s="634">
        <v>1600</v>
      </c>
      <c r="Y29" s="634" t="s">
        <v>53</v>
      </c>
      <c r="Z29" s="636" t="s">
        <v>155</v>
      </c>
    </row>
    <row r="30" spans="1:26" s="568" customFormat="1">
      <c r="A30" s="590" t="s">
        <v>274</v>
      </c>
      <c r="B30" s="591"/>
      <c r="C30" s="591"/>
      <c r="D30" s="591"/>
      <c r="E30" s="591"/>
      <c r="F30" s="591"/>
      <c r="G30" s="591"/>
      <c r="H30" s="591"/>
      <c r="I30" s="591"/>
      <c r="J30" s="591"/>
      <c r="K30" s="591"/>
      <c r="L30" s="592"/>
      <c r="M30" s="592">
        <f>SUM(M28:M29)</f>
        <v>199.7</v>
      </c>
      <c r="N30" s="592">
        <f>SUM(N28:N29)</f>
        <v>898.65</v>
      </c>
      <c r="O30" s="592">
        <f>SUM(O28:O29)</f>
        <v>1283.7857142857144</v>
      </c>
      <c r="P30" s="592">
        <f>SUM(P28:P29)</f>
        <v>0</v>
      </c>
      <c r="Q30" s="592">
        <f>SUM(Q28:Q29)</f>
        <v>2567.5714285714289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190</v>
      </c>
      <c r="N32" s="592">
        <f ca="1">SUMIF($Z$28:AD29,"tertiair",N28:N29)</f>
        <v>855</v>
      </c>
      <c r="O32" s="592">
        <f ca="1">SUMIF($Z$28:AE29,"tertiair",O28:O29)</f>
        <v>1221.4285714285716</v>
      </c>
      <c r="P32" s="592">
        <f ca="1">SUMIF($Z$28:AF29,"tertiair",P28:P29)</f>
        <v>0</v>
      </c>
      <c r="Q32" s="592">
        <f ca="1">SUMIF($Z$28:AG29,"tertiair",Q28:Q29)</f>
        <v>2442.8571428571431</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9.6999999999999993</v>
      </c>
      <c r="N33" s="597">
        <f>SUMIF($Z$28:$Z$29,"landbouw",N28:N29)</f>
        <v>43.649999999999991</v>
      </c>
      <c r="O33" s="597">
        <f>SUMIF($Z$28:$Z$29,"landbouw",O28:O29)</f>
        <v>62.357142857142847</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38.25">
      <c r="A36" s="589"/>
      <c r="B36" s="785">
        <v>35005</v>
      </c>
      <c r="C36" s="785">
        <v>8470</v>
      </c>
      <c r="D36" s="637" t="s">
        <v>916</v>
      </c>
      <c r="E36" s="637" t="s">
        <v>917</v>
      </c>
      <c r="F36" s="637" t="s">
        <v>918</v>
      </c>
      <c r="G36" s="637" t="s">
        <v>919</v>
      </c>
      <c r="H36" s="637" t="s">
        <v>920</v>
      </c>
      <c r="I36" s="637" t="s">
        <v>917</v>
      </c>
      <c r="J36" s="784">
        <v>38944</v>
      </c>
      <c r="K36" s="784">
        <v>39239</v>
      </c>
      <c r="L36" s="637" t="s">
        <v>911</v>
      </c>
      <c r="M36" s="637">
        <v>90</v>
      </c>
      <c r="N36" s="637">
        <v>405</v>
      </c>
      <c r="O36" s="637">
        <v>0</v>
      </c>
      <c r="P36" s="637">
        <v>0</v>
      </c>
      <c r="Q36" s="637">
        <v>0</v>
      </c>
      <c r="R36" s="637">
        <v>0</v>
      </c>
      <c r="S36" s="637">
        <v>0</v>
      </c>
      <c r="T36" s="637">
        <v>0</v>
      </c>
      <c r="U36" s="637">
        <v>1012.5</v>
      </c>
      <c r="V36" s="637">
        <v>0</v>
      </c>
      <c r="W36" s="637">
        <v>0</v>
      </c>
      <c r="X36" s="637">
        <v>10</v>
      </c>
      <c r="Y36" s="637" t="s">
        <v>111</v>
      </c>
      <c r="Z36" s="638" t="s">
        <v>111</v>
      </c>
    </row>
    <row r="37" spans="1:27" s="568" customFormat="1">
      <c r="A37" s="590" t="s">
        <v>274</v>
      </c>
      <c r="B37" s="591"/>
      <c r="C37" s="591"/>
      <c r="D37" s="591"/>
      <c r="E37" s="591"/>
      <c r="F37" s="591"/>
      <c r="G37" s="591"/>
      <c r="H37" s="591"/>
      <c r="I37" s="591"/>
      <c r="J37" s="591"/>
      <c r="K37" s="591"/>
      <c r="L37" s="592"/>
      <c r="M37" s="592">
        <f>SUM(M36:M36)</f>
        <v>90</v>
      </c>
      <c r="N37" s="592">
        <f>SUM(N36:N36)</f>
        <v>405</v>
      </c>
      <c r="O37" s="592">
        <f>SUM(O36:O36)</f>
        <v>0</v>
      </c>
      <c r="P37" s="592">
        <f>SUM(P36:P36)</f>
        <v>0</v>
      </c>
      <c r="Q37" s="592">
        <f>SUM(Q36:Q36)</f>
        <v>0</v>
      </c>
      <c r="R37" s="592">
        <f>SUM(R36:R36)</f>
        <v>0</v>
      </c>
      <c r="S37" s="592">
        <f>SUM(S36:S36)</f>
        <v>0</v>
      </c>
      <c r="T37" s="592">
        <f>SUM(T36:T36)</f>
        <v>0</v>
      </c>
      <c r="U37" s="592">
        <f>SUM(U36:U36)</f>
        <v>1012.5</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90</v>
      </c>
      <c r="N40" s="597">
        <f>SUMIF($Z$36:$Z$38,"landbouw",N36:N38)</f>
        <v>405</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1012.5</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1057.2352941176471</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0</v>
      </c>
      <c r="C50" s="629">
        <f t="shared" si="3"/>
        <v>1510.3361344537818</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2021-06-29T15:28:43Z</dcterms:modified>
</cp:coreProperties>
</file>