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<sst xmlns="http://schemas.openxmlformats.org/spreadsheetml/2006/main" count="2484" uniqueCount="906">
  <si>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</si>
  <si>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</si>
  <si>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</si>
  <si>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</si>
  <si>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</si>
  <si>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</si>
  <si>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</si>
  <si>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</si>
  <si>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</si>
  <si>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</si>
  <si>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</si>
  <si>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</si>
  <si>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</si>
  <si>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</si>
  <si>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</si>
  <si>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</si>
  <si>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</si>
  <si>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</si>
  <si>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</si>
  <si>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</si>
  <si>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</si>
  <si>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</si>
  <si>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</si>
  <si>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</si>
  <si>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</si>
  <si>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</si>
  <si>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</si>
  <si>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</si>
  <si>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</si>
  <si>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</si>
  <si>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</si>
  <si>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</si>
  <si>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</si>
  <si>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</si>
  <si>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</si>
  <si>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</si>
  <si>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</si>
  <si>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</si>
  <si>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</si>
  <si>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</si>
  <si>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</si>
  <si>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</si>
  <si>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</si>
  <si>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</si>
  <si>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</si>
  <si>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</si>
  <si>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</si>
  <si>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</si>
  <si>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</si>
  <si>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</si>
  <si>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</si>
  <si>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</si>
  <si>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</si>
  <si>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</si>
  <si>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</si>
  <si>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</si>
  <si>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</si>
  <si>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</si>
  <si>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</si>
  <si>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</si>
  <si>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</si>
  <si>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</si>
  <si>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</si>
  <si>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</si>
  <si>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</si>
  <si>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</si>
  <si>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</si>
  <si>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</si>
  <si>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</si>
  <si>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</si>
  <si>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</si>
  <si>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</si>
  <si>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</si>
  <si>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</si>
  <si>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</si>
  <si>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</si>
  <si>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</si>
  <si>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</si>
  <si>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</si>
  <si>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</si>
  <si>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</si>
  <si>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</si>
  <si>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</si>
  <si>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</si>
  <si>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</si>
  <si>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</si>
  <si>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</si>
  <si>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</si>
  <si>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</si>
  <si>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</si>
  <si>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</si>
  <si>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</si>
  <si>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</si>
  <si>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</si>
  <si>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</si>
  <si>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</si>
  <si>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</si>
  <si>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</si>
  <si>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</si>
  <si>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</si>
  <si>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</si>
  <si>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</si>
  <si>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</si>
  <si>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</si>
  <si>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</si>
  <si>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</si>
  <si>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</si>
  <si>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</si>
  <si>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</si>
  <si>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</si>
  <si>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</si>
  <si>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</si>
  <si>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</si>
  <si>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</si>
  <si>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</si>
  <si>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</si>
  <si>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</si>
  <si>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</si>
  <si>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</si>
  <si>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</si>
  <si>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</si>
  <si>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</si>
  <si>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</si>
  <si>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</si>
  <si>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</si>
  <si>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</si>
  <si>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</si>
  <si>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</si>
  <si>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</si>
  <si>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</si>
  <si>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</si>
  <si>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</si>
  <si>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</si>
  <si>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</si>
  <si>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</si>
  <si>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</si>
  <si>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</si>
  <si>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</si>
  <si>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</si>
  <si>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</si>
  <si>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</si>
  <si>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</si>
  <si>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</si>
  <si>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</si>
  <si>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</si>
  <si>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</si>
  <si>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</si>
  <si>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</si>
  <si>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</si>
  <si>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</si>
  <si>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</si>
  <si>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</si>
  <si>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</si>
  <si>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</si>
  <si>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</si>
  <si>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</si>
  <si>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</si>
  <si>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</si>
  <si>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</si>
  <si>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</si>
  <si>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</si>
  <si>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</si>
  <si>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</si>
  <si>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</si>
  <si>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</si>
  <si>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</si>
  <si>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</si>
  <si>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</si>
  <si>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</si>
  <si>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</si>
  <si>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</si>
  <si>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</si>
  <si>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</si>
  <si>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</si>
  <si>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</si>
  <si>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</si>
  <si>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</si>
  <si>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</si>
  <si>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</si>
  <si>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</si>
  <si>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</si>
  <si>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</si>
  <si>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</si>
  <si>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</si>
  <si>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</si>
  <si>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</si>
  <si>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</si>
  <si>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</si>
  <si>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</si>
  <si>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</si>
  <si>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</si>
  <si>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</si>
  <si>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</si>
  <si>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</si>
  <si>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</si>
  <si>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</si>
  <si>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</si>
  <si>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</si>
  <si>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</si>
  <si>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</si>
  <si>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</si>
  <si>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</si>
  <si>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</si>
  <si>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</si>
  <si>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</si>
  <si>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</si>
  <si>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</si>
  <si>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</si>
  <si>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</si>
  <si>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</si>
  <si>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</si>
  <si>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</si>
  <si>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</si>
  <si>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</si>
  <si>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</si>
  <si>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</si>
  <si>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</si>
  <si>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</si>
  <si>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</si>
  <si>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</si>
  <si>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</si>
  <si>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</si>
  <si>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</si>
  <si>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</si>
  <si>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</si>
  <si>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</si>
  <si>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</si>
  <si>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</si>
  <si>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</si>
  <si>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</si>
  <si>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</si>
  <si>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</si>
  <si>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</si>
  <si>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</si>
  <si>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</si>
  <si>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</si>
  <si>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</si>
  <si>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</si>
  <si>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</si>
  <si>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</si>
  <si>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</si>
  <si>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</si>
  <si>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</si>
  <si>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</si>
  <si>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</si>
  <si>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</si>
  <si>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</si>
  <si>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</si>
  <si>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</si>
  <si>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</si>
  <si>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</si>
  <si>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</si>
  <si>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</si>
  <si>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</si>
  <si>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</si>
  <si>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</si>
  <si>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</si>
  <si>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</si>
  <si>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</si>
  <si>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</si>
  <si>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</si>
  <si>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</si>
  <si>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</si>
  <si>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</si>
  <si>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</si>
  <si>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</si>
  <si>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</si>
  <si>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</si>
  <si>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</si>
  <si>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</si>
  <si>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</si>
  <si>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</si>
  <si>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</si>
  <si>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</si>
  <si>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</si>
  <si>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</si>
  <si>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</si>
  <si>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</si>
  <si>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</si>
  <si>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</si>
  <si>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</si>
  <si>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</si>
  <si>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</si>
  <si>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</si>
  <si>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</si>
  <si>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</si>
  <si>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</si>
  <si>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</si>
  <si>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</si>
  <si>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</si>
  <si>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</si>
  <si>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</si>
  <si>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</si>
  <si>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</si>
  <si>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</si>
  <si>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</si>
  <si>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</si>
  <si>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</si>
  <si>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</si>
  <si>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</si>
  <si>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</si>
  <si>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</si>
  <si>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</si>
  <si>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</si>
  <si>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</si>
  <si>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</si>
  <si>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</si>
  <si>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</si>
  <si>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</si>
  <si>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</si>
  <si>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</si>
  <si>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</si>
  <si>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</si>
  <si>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</si>
  <si>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</si>
  <si>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</si>
  <si>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</si>
  <si>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</si>
  <si>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</si>
  <si>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</si>
  <si>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</si>
  <si>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</si>
  <si>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</si>
  <si>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</si>
  <si>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</si>
  <si>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</si>
  <si>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</si>
  <si>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</si>
  <si>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</si>
  <si>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</si>
  <si>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</si>
  <si>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</si>
  <si>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</si>
  <si>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</si>
  <si>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</si>
  <si>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</si>
  <si>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</si>
  <si>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</si>
  <si>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</si>
  <si>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</si>
  <si>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</si>
  <si>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</si>
  <si>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</si>
  <si>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</si>
  <si>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</si>
  <si>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</si>
  <si>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</si>
  <si>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</si>
  <si>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</si>
  <si>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</si>
  <si>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</si>
  <si>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</si>
  <si>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</si>
  <si>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</si>
  <si>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</si>
  <si>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</si>
  <si>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</si>
  <si>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</si>
  <si>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</si>
  <si>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</si>
  <si>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</si>
  <si>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</si>
  <si>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</si>
  <si>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</si>
  <si>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</si>
  <si>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</si>
  <si>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</si>
  <si>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</si>
  <si>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</si>
  <si>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</si>
  <si>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</si>
  <si>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</si>
  <si>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</si>
  <si>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</si>
  <si>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</si>
  <si>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</si>
  <si>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</si>
  <si>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</si>
  <si>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</si>
  <si>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</si>
  <si>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</si>
  <si>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</si>
  <si>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</si>
  <si>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</si>
  <si>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</si>
  <si>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</si>
  <si>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</si>
  <si>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</si>
  <si>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</si>
  <si>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</si>
  <si>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</si>
  <si>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</si>
  <si>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</si>
  <si>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</si>
  <si>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</si>
  <si>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</si>
  <si>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</si>
  <si>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</si>
  <si>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</si>
  <si>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</si>
  <si>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</si>
  <si>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</si>
  <si>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</si>
  <si>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</si>
  <si>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</si>
  <si>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</si>
  <si>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</si>
  <si>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</si>
  <si>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</si>
  <si>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</si>
  <si>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</si>
  <si>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</si>
  <si>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</si>
  <si>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</si>
  <si>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</si>
  <si>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</si>
  <si>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</si>
  <si>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</si>
  <si>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</si>
  <si>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</si>
  <si>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</si>
  <si>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</si>
  <si>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</si>
  <si>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</si>
  <si>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</si>
  <si>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</si>
  <si>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</si>
  <si>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</si>
  <si>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</si>
  <si>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</si>
  <si>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</si>
  <si>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</si>
  <si>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</si>
  <si>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</si>
  <si>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</si>
  <si>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</si>
  <si>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</si>
  <si>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</si>
  <si>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</si>
  <si>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</si>
  <si>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</si>
  <si>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</si>
  <si>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</si>
  <si>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</si>
  <si>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</si>
  <si>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</si>
  <si>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</si>
  <si>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</si>
  <si>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</si>
  <si>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</si>
  <si>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</si>
  <si>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</si>
  <si>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</si>
  <si>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</si>
  <si>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</si>
  <si>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</si>
  <si>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</si>
  <si>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</si>
  <si>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</si>
  <si>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</si>
  <si>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</si>
  <si>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</si>
  <si>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</si>
  <si>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</si>
  <si>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</si>
  <si>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</si>
  <si>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</si>
  <si>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</si>
  <si>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</si>
  <si>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</si>
  <si>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</si>
  <si>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</si>
  <si>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</si>
  <si>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</si>
  <si>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</si>
  <si>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</si>
  <si>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</si>
  <si>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</si>
  <si>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</si>
  <si>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</si>
  <si>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</si>
  <si>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</si>
  <si>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</si>
  <si>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</si>
  <si>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</si>
  <si>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</si>
  <si>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</si>
  <si>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</si>
  <si>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</si>
  <si>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</si>
  <si>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</si>
  <si>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</si>
  <si>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</si>
  <si>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</si>
  <si>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</si>
  <si>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</si>
  <si>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</si>
  <si>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</si>
  <si>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</si>
  <si>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</si>
  <si>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</si>
  <si>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</si>
  <si>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</si>
  <si>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</si>
  <si>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</si>
  <si>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</si>
  <si>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</si>
  <si>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</si>
  <si>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</si>
  <si>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</si>
  <si>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</si>
  <si>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</si>
  <si>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</si>
  <si>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</si>
  <si>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</si>
  <si>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</si>
  <si>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</si>
  <si>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</si>
  <si>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</si>
  <si>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</si>
  <si>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</si>
  <si>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</si>
  <si>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</si>
  <si>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</si>
  <si>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</si>
  <si>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</si>
  <si>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</si>
  <si>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</si>
  <si>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</si>
  <si>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</si>
  <si>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</si>
  <si>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</si>
  <si>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</si>
  <si>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</si>
  <si>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</si>
  <si>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</si>
  <si>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</si>
  <si>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</si>
  <si>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</si>
  <si>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</si>
  <si>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</si>
  <si>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</si>
  <si>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</si>
  <si>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</si>
  <si>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</si>
  <si>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</si>
  <si>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</si>
  <si>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</si>
  <si>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</si>
  <si>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</si>
  <si>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</si>
  <si>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</si>
  <si>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</si>
  <si>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</si>
  <si>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</si>
  <si>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</si>
  <si>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</si>
  <si>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</si>
  <si>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</si>
  <si>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</si>
  <si>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</si>
  <si>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</si>
  <si>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</si>
  <si>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</si>
  <si>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</si>
  <si>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</si>
  <si>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</si>
  <si>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</si>
  <si>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</si>
  <si>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</si>
  <si>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</si>
  <si>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</si>
  <si>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</si>
  <si>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</si>
  <si>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</si>
  <si>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</si>
  <si>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</si>
  <si>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</si>
  <si>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</si>
  <si>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</si>
  <si>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</si>
  <si>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</si>
  <si>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</si>
  <si>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</si>
  <si>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</si>
  <si>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</si>
  <si>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</si>
  <si>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</si>
  <si>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</si>
  <si>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</si>
  <si>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</si>
  <si>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</si>
  <si>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</si>
  <si>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</si>
  <si>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</si>
  <si>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</si>
  <si>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</si>
  <si>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</si>
  <si>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</si>
  <si>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</si>
  <si>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</si>
  <si>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</si>
  <si>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</si>
  <si>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</si>
  <si>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</si>
  <si>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</si>
  <si>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</si>
  <si>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</si>
  <si>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</si>
  <si>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</si>
  <si>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</si>
  <si>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</si>
  <si>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</si>
  <si>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</si>
  <si>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</si>
  <si>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</si>
  <si>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</si>
  <si>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</si>
  <si>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</si>
  <si>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</si>
  <si>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</si>
  <si>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</si>
  <si>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</si>
  <si>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</si>
  <si>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</si>
  <si>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</si>
  <si>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</si>
  <si>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</si>
  <si>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</si>
  <si>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</si>
  <si>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</si>
  <si>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</si>
  <si>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</si>
  <si>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</si>
  <si>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</si>
  <si>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</si>
  <si>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</si>
  <si>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</si>
  <si>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</si>
  <si>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</si>
  <si>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</si>
  <si>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</si>
  <si>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</si>
  <si>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</si>
  <si>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</si>
  <si>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</si>
  <si>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</si>
  <si>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</si>
  <si>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</si>
  <si>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</si>
  <si>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</si>
  <si>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</si>
  <si>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</si>
  <si>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</si>
  <si>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</si>
  <si>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</si>
  <si>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</si>
  <si>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</si>
  <si>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</si>
  <si>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</si>
  <si>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</si>
  <si>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</si>
  <si>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</si>
  <si>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</si>
  <si>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</si>
  <si>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</si>
  <si>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</si>
  <si>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</si>
  <si>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</si>
  <si>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</si>
  <si>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</si>
  <si>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</si>
  <si>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</si>
  <si>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</si>
  <si>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</si>
  <si>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</si>
  <si>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</si>
  <si>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</si>
  <si>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</si>
  <si>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</si>
  <si>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</si>
  <si>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</si>
  <si>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</si>
  <si>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</si>
  <si>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</si>
  <si>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</si>
  <si>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</si>
  <si>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</si>
  <si>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</si>
  <si>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</si>
  <si>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</si>
  <si>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</si>
  <si>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</si>
  <si>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</si>
  <si>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</si>
  <si>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</si>
  <si>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</si>
  <si>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</si>
  <si>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</si>
  <si>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</si>
  <si>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</si>
  <si>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</si>
  <si>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</si>
  <si>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</si>
  <si>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</si>
  <si>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</si>
  <si>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</si>
  <si>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</si>
  <si>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</si>
  <si>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</si>
  <si>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</si>
  <si>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</si>
  <si>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</si>
  <si>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</si>
  <si>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</si>
  <si>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</si>
  <si>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</si>
  <si>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</si>
  <si>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</si>
  <si>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</si>
  <si>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</si>
  <si>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</si>
  <si>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</si>
  <si>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</si>
  <si>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</si>
  <si>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</si>
  <si>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</si>
  <si>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</si>
  <si>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</si>
  <si>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</si>
  <si>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</si>
  <si>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</si>
  <si>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</si>
  <si>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</si>
  <si>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</si>
  <si>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</si>
  <si>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</si>
  <si>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</si>
  <si>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</si>
  <si>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</si>
  <si>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</si>
  <si>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</si>
  <si>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</si>
  <si>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</si>
  <si>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</si>
  <si>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</si>
  <si>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</si>
  <si>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</si>
  <si>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</si>
  <si>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</si>
  <si>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</si>
  <si>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</si>
  <si>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</si>
  <si>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</si>
  <si>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</si>
  <si>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</si>
  <si>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</si>
  <si>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</si>
  <si>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</si>
  <si>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</si>
  <si>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</si>
  <si>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</si>
  <si>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</si>
  <si>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</si>
  <si>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</si>
  <si>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</si>
  <si>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</si>
  <si>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</si>
  <si>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</si>
  <si>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</si>
  <si>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</si>
  <si>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</si>
  <si>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</si>
  <si>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</si>
  <si>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</si>
  <si>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</si>
  <si>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</si>
  <si>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</si>
  <si>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</si>
  <si>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</si>
  <si>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</si>
  <si>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</si>
  <si>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</si>
  <si>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</si>
  <si>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</si>
  <si>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</si>
  <si>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</si>
  <si>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</si>
  <si>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</si>
  <si>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</si>
  <si>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</si>
  <si>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</si>
  <si>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</si>
  <si>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</si>
  <si>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</si>
  <si>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</si>
  <si>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</si>
  <si>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</si>
  <si>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</si>
  <si>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</si>
  <si>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</si>
  <si>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</si>
  <si>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</si>
  <si>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</si>
  <si>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</si>
  <si>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</si>
  <si>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</si>
  <si>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</si>
  <si>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</si>
  <si>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</si>
  <si>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</si>
  <si>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</si>
  <si>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</si>
  <si>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</si>
  <si>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</si>
  <si>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</si>
  <si>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</si>
  <si>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</si>
  <si>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</si>
  <si>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</si>
  <si>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</si>
  <si>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</si>
  <si>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</si>
  <si>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</si>
  <si>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</si>
  <si>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</si>
  <si>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</si>
  <si>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</si>
  <si>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</si>
  <si>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</si>
  <si>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</si>
  <si>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</si>
  <si>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</si>
  <si>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</si>
  <si>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</si>
  <si>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</si>
  <si>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</si>
  <si>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</si>
  <si>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</si>
  <si>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</si>
  <si>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</si>
  <si>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</si>
  <si>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</si>
  <si>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</si>
  <si>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</si>
  <si>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</si>
  <si>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</si>
  <si>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</si>
  <si>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</si>
  <si>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</si>
  <si>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</si>
  <si>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</si>
  <si>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</si>
  <si>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</si>
  <si>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</si>
  <si>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</si>
  <si>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</si>
  <si>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</si>
  <si>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</si>
  <si>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</si>
  <si>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</si>
  <si>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</si>
  <si>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</si>
  <si>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</si>
  <si>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</si>
  <si>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</si>
  <si>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</si>
  <si>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</si>
  <si>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</si>
  <si>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</si>
  <si>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</si>
  <si>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</si>
  <si>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</si>
  <si>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</si>
  <si>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</si>
  <si>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</si>
  <si>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</si>
  <si>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</si>
  <si>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</si>
  <si>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</si>
  <si>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</si>
  <si>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</si>
  <si>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</si>
  <si>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</si>
  <si>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</si>
  <si>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</si>
  <si>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</si>
  <si>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</si>
  <si>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</si>
  <si>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</si>
  <si>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</si>
  <si>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</si>
  <si>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</si>
  <si>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</si>
  <si>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</si>
  <si>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</si>
  <si>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</si>
  <si>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</si>
  <si>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</si>
  <si>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</si>
  <si>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</si>
  <si>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</si>
  <si>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</si>
  <si>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34023</t>
  </si>
  <si>
    <t>KUURNE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</si>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</sst>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102417.29766681236</c:v>
                </c:pt>
                <c:pt idx="1">
                  <c:v>45298.799007569542</c:v>
                </c:pt>
                <c:pt idx="2">
                  <c:v>819.83500000000004</c:v>
                </c:pt>
                <c:pt idx="3">
                  <c:v>1025.3236135478696</c:v>
                </c:pt>
                <c:pt idx="4">
                  <c:v>42665.030226246163</c:v>
                </c:pt>
                <c:pt idx="5">
                  <c:v>42467.925011864092</c:v>
                </c:pt>
                <c:pt idx="6">
                  <c:v>1029.401783291019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102417.29766681236</c:v>
                </c:pt>
                <c:pt idx="1">
                  <c:v>45298.799007569542</c:v>
                </c:pt>
                <c:pt idx="2">
                  <c:v>819.83500000000004</c:v>
                </c:pt>
                <c:pt idx="3">
                  <c:v>1025.3236135478696</c:v>
                </c:pt>
                <c:pt idx="4">
                  <c:v>42665.030226246163</c:v>
                </c:pt>
                <c:pt idx="5">
                  <c:v>42467.925011864092</c:v>
                </c:pt>
                <c:pt idx="6">
                  <c:v>1029.401783291019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20207.888862334356</c:v>
                </c:pt>
                <c:pt idx="1">
                  <c:v>8992.7385595921387</c:v>
                </c:pt>
                <c:pt idx="2">
                  <c:v>162.06634478862352</c:v>
                </c:pt>
                <c:pt idx="3">
                  <c:v>261.2054492168121</c:v>
                </c:pt>
                <c:pt idx="4">
                  <c:v>8685.6955076910108</c:v>
                </c:pt>
                <c:pt idx="5">
                  <c:v>10568.456044317136</c:v>
                </c:pt>
                <c:pt idx="6">
                  <c:v>259.40579640134558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20207.888862334356</c:v>
                </c:pt>
                <c:pt idx="1">
                  <c:v>8992.7385595921387</c:v>
                </c:pt>
                <c:pt idx="2">
                  <c:v>162.06634478862352</c:v>
                </c:pt>
                <c:pt idx="3">
                  <c:v>261.2054492168121</c:v>
                </c:pt>
                <c:pt idx="4">
                  <c:v>8685.6955076910108</c:v>
                </c:pt>
                <c:pt idx="5">
                  <c:v>10568.456044317136</c:v>
                </c:pt>
                <c:pt idx="6">
                  <c:v>259.40579640134558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34023</v>
      </c>
      <c r="B6" s="386"/>
      <c r="C6" s="387"/>
    </row>
    <row r="7" spans="1:7" s="384" customFormat="1" ht="15.75" customHeight="1">
      <c r="A7" s="388" t="str">
        <f>txtMunicipality</f>
        <v>KUURNE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21813.272883000001</v>
      </c>
      <c r="D10" s="681">
        <f ca="1">tertiair!C16</f>
        <v>0</v>
      </c>
      <c r="E10" s="681">
        <f ca="1">tertiair!D16</f>
        <v>20681.262668044001</v>
      </c>
      <c r="F10" s="681">
        <f>tertiair!E16</f>
        <v>301.83503941962641</v>
      </c>
      <c r="G10" s="681">
        <f ca="1">tertiair!F16</f>
        <v>2234.3850376450282</v>
      </c>
      <c r="H10" s="681">
        <f>tertiair!G16</f>
        <v>0</v>
      </c>
      <c r="I10" s="681">
        <f>tertiair!H16</f>
        <v>0</v>
      </c>
      <c r="J10" s="681">
        <f>tertiair!I16</f>
        <v>0</v>
      </c>
      <c r="K10" s="681">
        <f>tertiair!J16</f>
        <v>2.391136019059939E-2</v>
      </c>
      <c r="L10" s="681">
        <f>tertiair!K16</f>
        <v>0</v>
      </c>
      <c r="M10" s="681">
        <f ca="1">tertiair!L16</f>
        <v>0</v>
      </c>
      <c r="N10" s="681">
        <f>tertiair!M16</f>
        <v>0</v>
      </c>
      <c r="O10" s="681">
        <f ca="1">tertiair!N16</f>
        <v>968.08440919017312</v>
      </c>
      <c r="P10" s="681">
        <f>tertiair!O16</f>
        <v>14.691782297523464</v>
      </c>
      <c r="Q10" s="682">
        <f>tertiair!P16</f>
        <v>105.07827661299004</v>
      </c>
      <c r="R10" s="684">
        <f ca="1">SUM(C10:Q10)</f>
        <v>46118.634007569533</v>
      </c>
      <c r="S10" s="67"/>
    </row>
    <row r="11" spans="1:19" s="444" customFormat="1">
      <c r="A11" s="802" t="s">
        <v>219</v>
      </c>
      <c r="B11" s="807"/>
      <c r="C11" s="681">
        <f>huishoudens!B8</f>
        <v>19612.789258578487</v>
      </c>
      <c r="D11" s="681">
        <f>huishoudens!C8</f>
        <v>0</v>
      </c>
      <c r="E11" s="681">
        <f>huishoudens!D8</f>
        <v>56506.936342779998</v>
      </c>
      <c r="F11" s="681">
        <f>huishoudens!E8</f>
        <v>1079.5319671557565</v>
      </c>
      <c r="G11" s="681">
        <f>huishoudens!F8</f>
        <v>17403.494117595135</v>
      </c>
      <c r="H11" s="681">
        <f>huishoudens!G8</f>
        <v>0</v>
      </c>
      <c r="I11" s="681">
        <f>huishoudens!H8</f>
        <v>0</v>
      </c>
      <c r="J11" s="681">
        <f>huishoudens!I8</f>
        <v>0</v>
      </c>
      <c r="K11" s="681">
        <f>huishoudens!J8</f>
        <v>69.526191711810199</v>
      </c>
      <c r="L11" s="681">
        <f>huishoudens!K8</f>
        <v>0</v>
      </c>
      <c r="M11" s="681">
        <f>huishoudens!L8</f>
        <v>0</v>
      </c>
      <c r="N11" s="681">
        <f>huishoudens!M8</f>
        <v>0</v>
      </c>
      <c r="O11" s="681">
        <f>huishoudens!N8</f>
        <v>7255.2166621146644</v>
      </c>
      <c r="P11" s="681">
        <f>huishoudens!O8</f>
        <v>289.65790003050665</v>
      </c>
      <c r="Q11" s="682">
        <f>huishoudens!P8</f>
        <v>200.14522684601545</v>
      </c>
      <c r="R11" s="684">
        <f>SUM(C11:Q11)</f>
        <v>102417.29766681236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16232.609047999998</v>
      </c>
      <c r="D13" s="681">
        <f>industrie!C18</f>
        <v>0</v>
      </c>
      <c r="E13" s="681">
        <f>industrie!D18</f>
        <v>21246.459936966003</v>
      </c>
      <c r="F13" s="681">
        <f>industrie!E18</f>
        <v>954.83309258270288</v>
      </c>
      <c r="G13" s="681">
        <f>industrie!F18</f>
        <v>3489.2808174648221</v>
      </c>
      <c r="H13" s="681">
        <f>industrie!G18</f>
        <v>0</v>
      </c>
      <c r="I13" s="681">
        <f>industrie!H18</f>
        <v>0</v>
      </c>
      <c r="J13" s="681">
        <f>industrie!I18</f>
        <v>0</v>
      </c>
      <c r="K13" s="681">
        <f>industrie!J18</f>
        <v>103.49261685602475</v>
      </c>
      <c r="L13" s="681">
        <f>industrie!K18</f>
        <v>0</v>
      </c>
      <c r="M13" s="681">
        <f>industrie!L18</f>
        <v>0</v>
      </c>
      <c r="N13" s="681">
        <f>industrie!M18</f>
        <v>0</v>
      </c>
      <c r="O13" s="681">
        <f>industrie!N18</f>
        <v>638.35471437661329</v>
      </c>
      <c r="P13" s="681">
        <f>industrie!O18</f>
        <v>0</v>
      </c>
      <c r="Q13" s="682">
        <f>industrie!P18</f>
        <v>0</v>
      </c>
      <c r="R13" s="684">
        <f>SUM(C13:Q13)</f>
        <v>42665.030226246163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57658.671189578483</v>
      </c>
      <c r="D16" s="717">
        <f t="shared" ref="D16:R16" ca="1" si="0">SUM(D9:D15)</f>
        <v>0</v>
      </c>
      <c r="E16" s="717">
        <f t="shared" ca="1" si="0"/>
        <v>98434.658947789998</v>
      </c>
      <c r="F16" s="717">
        <f t="shared" si="0"/>
        <v>2336.2000991580858</v>
      </c>
      <c r="G16" s="717">
        <f t="shared" ca="1" si="0"/>
        <v>23127.159972704987</v>
      </c>
      <c r="H16" s="717">
        <f t="shared" si="0"/>
        <v>0</v>
      </c>
      <c r="I16" s="717">
        <f t="shared" si="0"/>
        <v>0</v>
      </c>
      <c r="J16" s="717">
        <f t="shared" si="0"/>
        <v>0</v>
      </c>
      <c r="K16" s="717">
        <f t="shared" si="0"/>
        <v>173.04271992802555</v>
      </c>
      <c r="L16" s="717">
        <f t="shared" si="0"/>
        <v>0</v>
      </c>
      <c r="M16" s="717">
        <f t="shared" ca="1" si="0"/>
        <v>0</v>
      </c>
      <c r="N16" s="717">
        <f t="shared" si="0"/>
        <v>0</v>
      </c>
      <c r="O16" s="717">
        <f t="shared" ca="1" si="0"/>
        <v>8861.6557856814507</v>
      </c>
      <c r="P16" s="717">
        <f t="shared" si="0"/>
        <v>304.3496823280301</v>
      </c>
      <c r="Q16" s="717">
        <f t="shared" si="0"/>
        <v>305.22350345900549</v>
      </c>
      <c r="R16" s="717">
        <f t="shared" ca="1" si="0"/>
        <v>191200.96190062806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13.274111807909378</v>
      </c>
      <c r="D19" s="681">
        <f>transport!C54</f>
        <v>0</v>
      </c>
      <c r="E19" s="681">
        <f>transport!D54</f>
        <v>0</v>
      </c>
      <c r="F19" s="681">
        <f>transport!E54</f>
        <v>0</v>
      </c>
      <c r="G19" s="681">
        <f>transport!F54</f>
        <v>0</v>
      </c>
      <c r="H19" s="681">
        <f>transport!G54</f>
        <v>961.72939298475251</v>
      </c>
      <c r="I19" s="681">
        <f>transport!H54</f>
        <v>0</v>
      </c>
      <c r="J19" s="681">
        <f>transport!I54</f>
        <v>0</v>
      </c>
      <c r="K19" s="681">
        <f>transport!J54</f>
        <v>0</v>
      </c>
      <c r="L19" s="681">
        <f>transport!K54</f>
        <v>0</v>
      </c>
      <c r="M19" s="681">
        <f>transport!L54</f>
        <v>0</v>
      </c>
      <c r="N19" s="681">
        <f>transport!M54</f>
        <v>54.398278498357122</v>
      </c>
      <c r="O19" s="681">
        <f>transport!N54</f>
        <v>0</v>
      </c>
      <c r="P19" s="681">
        <f>transport!O54</f>
        <v>0</v>
      </c>
      <c r="Q19" s="682">
        <f>transport!P54</f>
        <v>0</v>
      </c>
      <c r="R19" s="684">
        <f>SUM(C19:Q19)</f>
        <v>1029.401783291019</v>
      </c>
      <c r="S19" s="67"/>
    </row>
    <row r="20" spans="1:19" s="444" customFormat="1">
      <c r="A20" s="802" t="s">
        <v>301</v>
      </c>
      <c r="B20" s="807"/>
      <c r="C20" s="681">
        <f>transport!B14</f>
        <v>43.139158378474612</v>
      </c>
      <c r="D20" s="681">
        <f>transport!C14</f>
        <v>0</v>
      </c>
      <c r="E20" s="681">
        <f>transport!D14</f>
        <v>80.796014171632436</v>
      </c>
      <c r="F20" s="681">
        <f>transport!E14</f>
        <v>69.359850412544347</v>
      </c>
      <c r="G20" s="681">
        <f>transport!F14</f>
        <v>0</v>
      </c>
      <c r="H20" s="681">
        <f>transport!G14</f>
        <v>32755.987500398733</v>
      </c>
      <c r="I20" s="681">
        <f>transport!H14</f>
        <v>7156.6830534505543</v>
      </c>
      <c r="J20" s="681">
        <f>transport!I14</f>
        <v>0</v>
      </c>
      <c r="K20" s="681">
        <f>transport!J14</f>
        <v>0</v>
      </c>
      <c r="L20" s="681">
        <f>transport!K14</f>
        <v>0</v>
      </c>
      <c r="M20" s="681">
        <f>transport!L14</f>
        <v>0</v>
      </c>
      <c r="N20" s="681">
        <f>transport!M14</f>
        <v>2361.9594350521543</v>
      </c>
      <c r="O20" s="681">
        <f>transport!N14</f>
        <v>0</v>
      </c>
      <c r="P20" s="681">
        <f>transport!O14</f>
        <v>0</v>
      </c>
      <c r="Q20" s="682">
        <f>transport!P14</f>
        <v>0</v>
      </c>
      <c r="R20" s="684">
        <f>SUM(C20:Q20)</f>
        <v>42467.925011864092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56.41327018638399</v>
      </c>
      <c r="D22" s="805">
        <f t="shared" ref="D22:R22" si="1">SUM(D18:D21)</f>
        <v>0</v>
      </c>
      <c r="E22" s="805">
        <f t="shared" si="1"/>
        <v>80.796014171632436</v>
      </c>
      <c r="F22" s="805">
        <f t="shared" si="1"/>
        <v>69.359850412544347</v>
      </c>
      <c r="G22" s="805">
        <f t="shared" si="1"/>
        <v>0</v>
      </c>
      <c r="H22" s="805">
        <f t="shared" si="1"/>
        <v>33717.716893383484</v>
      </c>
      <c r="I22" s="805">
        <f t="shared" si="1"/>
        <v>7156.6830534505543</v>
      </c>
      <c r="J22" s="805">
        <f t="shared" si="1"/>
        <v>0</v>
      </c>
      <c r="K22" s="805">
        <f t="shared" si="1"/>
        <v>0</v>
      </c>
      <c r="L22" s="805">
        <f t="shared" si="1"/>
        <v>0</v>
      </c>
      <c r="M22" s="805">
        <f t="shared" si="1"/>
        <v>0</v>
      </c>
      <c r="N22" s="805">
        <f t="shared" si="1"/>
        <v>2416.3577135505116</v>
      </c>
      <c r="O22" s="805">
        <f t="shared" si="1"/>
        <v>0</v>
      </c>
      <c r="P22" s="805">
        <f t="shared" si="1"/>
        <v>0</v>
      </c>
      <c r="Q22" s="805">
        <f t="shared" si="1"/>
        <v>0</v>
      </c>
      <c r="R22" s="805">
        <f t="shared" si="1"/>
        <v>43497.32679515511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201.786371</v>
      </c>
      <c r="D24" s="681">
        <f>+landbouw!C8</f>
        <v>0</v>
      </c>
      <c r="E24" s="681">
        <f>+landbouw!D8</f>
        <v>48.510623457999998</v>
      </c>
      <c r="F24" s="681">
        <f>+landbouw!E8</f>
        <v>6.297686097973858</v>
      </c>
      <c r="G24" s="681">
        <f>+landbouw!F8</f>
        <v>713.13538840517708</v>
      </c>
      <c r="H24" s="681">
        <f>+landbouw!G8</f>
        <v>0</v>
      </c>
      <c r="I24" s="681">
        <f>+landbouw!H8</f>
        <v>0</v>
      </c>
      <c r="J24" s="681">
        <f>+landbouw!I8</f>
        <v>0</v>
      </c>
      <c r="K24" s="681">
        <f>+landbouw!J8</f>
        <v>55.593544586718835</v>
      </c>
      <c r="L24" s="681">
        <f>+landbouw!K8</f>
        <v>0</v>
      </c>
      <c r="M24" s="681">
        <f>+landbouw!L8</f>
        <v>0</v>
      </c>
      <c r="N24" s="681">
        <f>+landbouw!M8</f>
        <v>0</v>
      </c>
      <c r="O24" s="681">
        <f>+landbouw!N8</f>
        <v>0</v>
      </c>
      <c r="P24" s="681">
        <f>+landbouw!O8</f>
        <v>0</v>
      </c>
      <c r="Q24" s="682">
        <f>+landbouw!P8</f>
        <v>0</v>
      </c>
      <c r="R24" s="684">
        <f>SUM(C24:Q24)</f>
        <v>1025.3236135478696</v>
      </c>
      <c r="S24" s="67"/>
    </row>
    <row r="25" spans="1:19" s="444" customFormat="1" ht="15" thickBot="1">
      <c r="A25" s="824" t="s">
        <v>714</v>
      </c>
      <c r="B25" s="943"/>
      <c r="C25" s="944">
        <f>IF(Onbekend_ele_kWh="---",0,Onbekend_ele_kWh)/1000+IF(REST_rest_ele_kWh="---",0,REST_rest_ele_kWh)/1000</f>
        <v>569.32843400000002</v>
      </c>
      <c r="D25" s="944"/>
      <c r="E25" s="944">
        <f>IF(onbekend_gas_kWh="---",0,onbekend_gas_kWh)/1000+IF(REST_rest_gas_kWh="---",0,REST_rest_gas_kWh)/1000</f>
        <v>6882.2712699999993</v>
      </c>
      <c r="F25" s="944"/>
      <c r="G25" s="944"/>
      <c r="H25" s="944"/>
      <c r="I25" s="944"/>
      <c r="J25" s="944"/>
      <c r="K25" s="944"/>
      <c r="L25" s="944"/>
      <c r="M25" s="944"/>
      <c r="N25" s="944"/>
      <c r="O25" s="944"/>
      <c r="P25" s="944"/>
      <c r="Q25" s="945"/>
      <c r="R25" s="684">
        <f>SUM(C25:Q25)</f>
        <v>7451.5997039999993</v>
      </c>
      <c r="S25" s="67"/>
    </row>
    <row r="26" spans="1:19" s="444" customFormat="1" ht="15.75" thickBot="1">
      <c r="A26" s="689" t="s">
        <v>715</v>
      </c>
      <c r="B26" s="810"/>
      <c r="C26" s="805">
        <f>SUM(C24:C25)</f>
        <v>771.11480500000005</v>
      </c>
      <c r="D26" s="805">
        <f t="shared" ref="D26:R26" si="2">SUM(D24:D25)</f>
        <v>0</v>
      </c>
      <c r="E26" s="805">
        <f t="shared" si="2"/>
        <v>6930.7818934579991</v>
      </c>
      <c r="F26" s="805">
        <f t="shared" si="2"/>
        <v>6.297686097973858</v>
      </c>
      <c r="G26" s="805">
        <f t="shared" si="2"/>
        <v>713.13538840517708</v>
      </c>
      <c r="H26" s="805">
        <f t="shared" si="2"/>
        <v>0</v>
      </c>
      <c r="I26" s="805">
        <f t="shared" si="2"/>
        <v>0</v>
      </c>
      <c r="J26" s="805">
        <f t="shared" si="2"/>
        <v>0</v>
      </c>
      <c r="K26" s="805">
        <f t="shared" si="2"/>
        <v>55.593544586718835</v>
      </c>
      <c r="L26" s="805">
        <f t="shared" si="2"/>
        <v>0</v>
      </c>
      <c r="M26" s="805">
        <f t="shared" si="2"/>
        <v>0</v>
      </c>
      <c r="N26" s="805">
        <f t="shared" si="2"/>
        <v>0</v>
      </c>
      <c r="O26" s="805">
        <f t="shared" si="2"/>
        <v>0</v>
      </c>
      <c r="P26" s="805">
        <f t="shared" si="2"/>
        <v>0</v>
      </c>
      <c r="Q26" s="805">
        <f t="shared" si="2"/>
        <v>0</v>
      </c>
      <c r="R26" s="805">
        <f t="shared" si="2"/>
        <v>8476.9233175478694</v>
      </c>
      <c r="S26" s="67"/>
    </row>
    <row r="27" spans="1:19" s="444" customFormat="1" ht="17.25" thickTop="1" thickBot="1">
      <c r="A27" s="690" t="s">
        <v>115</v>
      </c>
      <c r="B27" s="797"/>
      <c r="C27" s="691">
        <f ca="1">C22+C16+C26</f>
        <v>58486.199264764866</v>
      </c>
      <c r="D27" s="691">
        <f t="shared" ref="D27:R27" ca="1" si="3">D22+D16+D26</f>
        <v>0</v>
      </c>
      <c r="E27" s="691">
        <f t="shared" ca="1" si="3"/>
        <v>105446.23685541963</v>
      </c>
      <c r="F27" s="691">
        <f t="shared" si="3"/>
        <v>2411.857635668604</v>
      </c>
      <c r="G27" s="691">
        <f t="shared" ca="1" si="3"/>
        <v>23840.295361110166</v>
      </c>
      <c r="H27" s="691">
        <f t="shared" si="3"/>
        <v>33717.716893383484</v>
      </c>
      <c r="I27" s="691">
        <f t="shared" si="3"/>
        <v>7156.6830534505543</v>
      </c>
      <c r="J27" s="691">
        <f t="shared" si="3"/>
        <v>0</v>
      </c>
      <c r="K27" s="691">
        <f t="shared" si="3"/>
        <v>228.63626451474437</v>
      </c>
      <c r="L27" s="691">
        <f t="shared" si="3"/>
        <v>0</v>
      </c>
      <c r="M27" s="691">
        <f t="shared" ca="1" si="3"/>
        <v>0</v>
      </c>
      <c r="N27" s="691">
        <f t="shared" si="3"/>
        <v>2416.3577135505116</v>
      </c>
      <c r="O27" s="691">
        <f t="shared" ca="1" si="3"/>
        <v>8861.6557856814507</v>
      </c>
      <c r="P27" s="691">
        <f t="shared" si="3"/>
        <v>304.3496823280301</v>
      </c>
      <c r="Q27" s="691">
        <f t="shared" si="3"/>
        <v>305.22350345900549</v>
      </c>
      <c r="R27" s="691">
        <f t="shared" ca="1" si="3"/>
        <v>243175.21201333104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4312.0840218148896</v>
      </c>
      <c r="D40" s="681">
        <f ca="1">tertiair!C20</f>
        <v>0</v>
      </c>
      <c r="E40" s="681">
        <f ca="1">tertiair!D20</f>
        <v>4177.615058944888</v>
      </c>
      <c r="F40" s="681">
        <f>tertiair!E20</f>
        <v>68.516553948255194</v>
      </c>
      <c r="G40" s="681">
        <f ca="1">tertiair!F20</f>
        <v>596.58080505122257</v>
      </c>
      <c r="H40" s="681">
        <f>tertiair!G20</f>
        <v>0</v>
      </c>
      <c r="I40" s="681">
        <f>tertiair!H20</f>
        <v>0</v>
      </c>
      <c r="J40" s="681">
        <f>tertiair!I20</f>
        <v>0</v>
      </c>
      <c r="K40" s="681">
        <f>tertiair!J20</f>
        <v>8.4646215074721844E-3</v>
      </c>
      <c r="L40" s="681">
        <f>tertiair!K20</f>
        <v>0</v>
      </c>
      <c r="M40" s="681">
        <f ca="1">tertiair!L20</f>
        <v>0</v>
      </c>
      <c r="N40" s="681">
        <f>tertiair!M20</f>
        <v>0</v>
      </c>
      <c r="O40" s="681">
        <f ca="1">tertiair!N20</f>
        <v>0</v>
      </c>
      <c r="P40" s="681">
        <f>tertiair!O20</f>
        <v>0</v>
      </c>
      <c r="Q40" s="764">
        <f>tertiair!P20</f>
        <v>0</v>
      </c>
      <c r="R40" s="843">
        <f t="shared" ca="1" si="4"/>
        <v>9154.8049043807623</v>
      </c>
    </row>
    <row r="41" spans="1:18">
      <c r="A41" s="815" t="s">
        <v>219</v>
      </c>
      <c r="B41" s="822"/>
      <c r="C41" s="681">
        <f ca="1">huishoudens!B12</f>
        <v>3877.0887632845543</v>
      </c>
      <c r="D41" s="681">
        <f ca="1">huishoudens!C12</f>
        <v>0</v>
      </c>
      <c r="E41" s="681">
        <f>huishoudens!D12</f>
        <v>11414.40114124156</v>
      </c>
      <c r="F41" s="681">
        <f>huishoudens!E12</f>
        <v>245.05375654435673</v>
      </c>
      <c r="G41" s="681">
        <f>huishoudens!F12</f>
        <v>4646.732929397901</v>
      </c>
      <c r="H41" s="681">
        <f>huishoudens!G12</f>
        <v>0</v>
      </c>
      <c r="I41" s="681">
        <f>huishoudens!H12</f>
        <v>0</v>
      </c>
      <c r="J41" s="681">
        <f>huishoudens!I12</f>
        <v>0</v>
      </c>
      <c r="K41" s="681">
        <f>huishoudens!J12</f>
        <v>24.612271865980809</v>
      </c>
      <c r="L41" s="681">
        <f>huishoudens!K12</f>
        <v>0</v>
      </c>
      <c r="M41" s="681">
        <f>huishoudens!L12</f>
        <v>0</v>
      </c>
      <c r="N41" s="681">
        <f>huishoudens!M12</f>
        <v>0</v>
      </c>
      <c r="O41" s="681">
        <f>huishoudens!N12</f>
        <v>0</v>
      </c>
      <c r="P41" s="681">
        <f>huishoudens!O12</f>
        <v>0</v>
      </c>
      <c r="Q41" s="764">
        <f>huishoudens!P12</f>
        <v>0</v>
      </c>
      <c r="R41" s="843">
        <f t="shared" ca="1" si="4"/>
        <v>20207.888862334356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3208.8891237774642</v>
      </c>
      <c r="D43" s="681">
        <f ca="1">industrie!C22</f>
        <v>0</v>
      </c>
      <c r="E43" s="681">
        <f>industrie!D22</f>
        <v>4291.7849072671324</v>
      </c>
      <c r="F43" s="681">
        <f>industrie!E22</f>
        <v>216.74711201627355</v>
      </c>
      <c r="G43" s="681">
        <f>industrie!F22</f>
        <v>931.63797826310758</v>
      </c>
      <c r="H43" s="681">
        <f>industrie!G22</f>
        <v>0</v>
      </c>
      <c r="I43" s="681">
        <f>industrie!H22</f>
        <v>0</v>
      </c>
      <c r="J43" s="681">
        <f>industrie!I22</f>
        <v>0</v>
      </c>
      <c r="K43" s="681">
        <f>industrie!J22</f>
        <v>36.636386367032763</v>
      </c>
      <c r="L43" s="681">
        <f>industrie!K22</f>
        <v>0</v>
      </c>
      <c r="M43" s="681">
        <f>industrie!L22</f>
        <v>0</v>
      </c>
      <c r="N43" s="681">
        <f>industrie!M22</f>
        <v>0</v>
      </c>
      <c r="O43" s="681">
        <f>industrie!N22</f>
        <v>0</v>
      </c>
      <c r="P43" s="681">
        <f>industrie!O22</f>
        <v>0</v>
      </c>
      <c r="Q43" s="764">
        <f>industrie!P22</f>
        <v>0</v>
      </c>
      <c r="R43" s="842">
        <f t="shared" ca="1" si="4"/>
        <v>8685.6955076910108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11398.061908876909</v>
      </c>
      <c r="D46" s="717">
        <f t="shared" ref="D46:Q46" ca="1" si="5">SUM(D39:D45)</f>
        <v>0</v>
      </c>
      <c r="E46" s="717">
        <f t="shared" ca="1" si="5"/>
        <v>19883.801107453583</v>
      </c>
      <c r="F46" s="717">
        <f t="shared" si="5"/>
        <v>530.31742250888556</v>
      </c>
      <c r="G46" s="717">
        <f t="shared" ca="1" si="5"/>
        <v>6174.9517127122308</v>
      </c>
      <c r="H46" s="717">
        <f t="shared" si="5"/>
        <v>0</v>
      </c>
      <c r="I46" s="717">
        <f t="shared" si="5"/>
        <v>0</v>
      </c>
      <c r="J46" s="717">
        <f t="shared" si="5"/>
        <v>0</v>
      </c>
      <c r="K46" s="717">
        <f t="shared" si="5"/>
        <v>61.257122854521043</v>
      </c>
      <c r="L46" s="717">
        <f t="shared" si="5"/>
        <v>0</v>
      </c>
      <c r="M46" s="717">
        <f t="shared" ca="1" si="5"/>
        <v>0</v>
      </c>
      <c r="N46" s="717">
        <f t="shared" si="5"/>
        <v>0</v>
      </c>
      <c r="O46" s="717">
        <f t="shared" ca="1" si="5"/>
        <v>0</v>
      </c>
      <c r="P46" s="717">
        <f t="shared" si="5"/>
        <v>0</v>
      </c>
      <c r="Q46" s="717">
        <f t="shared" si="5"/>
        <v>0</v>
      </c>
      <c r="R46" s="717">
        <f ca="1">SUM(R39:R45)</f>
        <v>38048.38927440613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2.6240484744166568</v>
      </c>
      <c r="D49" s="681">
        <f ca="1">transport!C58</f>
        <v>0</v>
      </c>
      <c r="E49" s="681">
        <f>transport!D58</f>
        <v>0</v>
      </c>
      <c r="F49" s="681">
        <f>transport!E58</f>
        <v>0</v>
      </c>
      <c r="G49" s="681">
        <f>transport!F58</f>
        <v>0</v>
      </c>
      <c r="H49" s="681">
        <f>transport!G58</f>
        <v>256.78174792692892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259.40579640134558</v>
      </c>
    </row>
    <row r="50" spans="1:18">
      <c r="A50" s="818" t="s">
        <v>301</v>
      </c>
      <c r="B50" s="828"/>
      <c r="C50" s="687">
        <f ca="1">transport!B18</f>
        <v>8.5278204951690313</v>
      </c>
      <c r="D50" s="687">
        <f>transport!C18</f>
        <v>0</v>
      </c>
      <c r="E50" s="687">
        <f>transport!D18</f>
        <v>16.320794862669754</v>
      </c>
      <c r="F50" s="687">
        <f>transport!E18</f>
        <v>15.744686043647567</v>
      </c>
      <c r="G50" s="687">
        <f>transport!F18</f>
        <v>0</v>
      </c>
      <c r="H50" s="687">
        <f>transport!G18</f>
        <v>8745.8486626064623</v>
      </c>
      <c r="I50" s="687">
        <f>transport!H18</f>
        <v>1782.0140803091881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10568.456044317136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11.151868969585689</v>
      </c>
      <c r="D52" s="717">
        <f t="shared" ref="D52:Q52" ca="1" si="6">SUM(D48:D51)</f>
        <v>0</v>
      </c>
      <c r="E52" s="717">
        <f t="shared" si="6"/>
        <v>16.320794862669754</v>
      </c>
      <c r="F52" s="717">
        <f t="shared" si="6"/>
        <v>15.744686043647567</v>
      </c>
      <c r="G52" s="717">
        <f t="shared" si="6"/>
        <v>0</v>
      </c>
      <c r="H52" s="717">
        <f t="shared" si="6"/>
        <v>9002.6304105333911</v>
      </c>
      <c r="I52" s="717">
        <f t="shared" si="6"/>
        <v>1782.0140803091881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10827.861840718482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39.889465046175268</v>
      </c>
      <c r="D54" s="687">
        <f ca="1">+landbouw!C12</f>
        <v>0</v>
      </c>
      <c r="E54" s="687">
        <f>+landbouw!D12</f>
        <v>9.7991459385160002</v>
      </c>
      <c r="F54" s="687">
        <f>+landbouw!E12</f>
        <v>1.4295747442400659</v>
      </c>
      <c r="G54" s="687">
        <f>+landbouw!F12</f>
        <v>190.4071487041823</v>
      </c>
      <c r="H54" s="687">
        <f>+landbouw!G12</f>
        <v>0</v>
      </c>
      <c r="I54" s="687">
        <f>+landbouw!H12</f>
        <v>0</v>
      </c>
      <c r="J54" s="687">
        <f>+landbouw!I12</f>
        <v>0</v>
      </c>
      <c r="K54" s="687">
        <f>+landbouw!J12</f>
        <v>19.680114783698468</v>
      </c>
      <c r="L54" s="687">
        <f>+landbouw!K12</f>
        <v>0</v>
      </c>
      <c r="M54" s="687">
        <f>+landbouw!L12</f>
        <v>0</v>
      </c>
      <c r="N54" s="687">
        <f>+landbouw!M12</f>
        <v>0</v>
      </c>
      <c r="O54" s="687">
        <f>+landbouw!N12</f>
        <v>0</v>
      </c>
      <c r="P54" s="687">
        <f>+landbouw!O12</f>
        <v>0</v>
      </c>
      <c r="Q54" s="688">
        <f>+landbouw!P12</f>
        <v>0</v>
      </c>
      <c r="R54" s="716">
        <f ca="1">SUM(C54:Q54)</f>
        <v>261.2054492168121</v>
      </c>
    </row>
    <row r="55" spans="1:18" ht="15" thickBot="1">
      <c r="A55" s="818" t="s">
        <v>714</v>
      </c>
      <c r="B55" s="828"/>
      <c r="C55" s="687">
        <f ca="1">C25*'EF ele_warmte'!B12</f>
        <v>112.54579065618213</v>
      </c>
      <c r="D55" s="687"/>
      <c r="E55" s="687">
        <f>E25*EF_CO2_aardgas</f>
        <v>1390.2187965399999</v>
      </c>
      <c r="F55" s="687"/>
      <c r="G55" s="687"/>
      <c r="H55" s="687"/>
      <c r="I55" s="687"/>
      <c r="J55" s="687"/>
      <c r="K55" s="687"/>
      <c r="L55" s="687"/>
      <c r="M55" s="687"/>
      <c r="N55" s="687"/>
      <c r="O55" s="687"/>
      <c r="P55" s="687"/>
      <c r="Q55" s="688"/>
      <c r="R55" s="716">
        <f ca="1">SUM(C55:Q55)</f>
        <v>1502.764587196182</v>
      </c>
    </row>
    <row r="56" spans="1:18" ht="15.75" thickBot="1">
      <c r="A56" s="816" t="s">
        <v>715</v>
      </c>
      <c r="B56" s="829"/>
      <c r="C56" s="717">
        <f ca="1">SUM(C54:C55)</f>
        <v>152.43525570235741</v>
      </c>
      <c r="D56" s="717">
        <f t="shared" ref="D56:Q56" ca="1" si="7">SUM(D54:D55)</f>
        <v>0</v>
      </c>
      <c r="E56" s="717">
        <f t="shared" si="7"/>
        <v>1400.0179424785158</v>
      </c>
      <c r="F56" s="717">
        <f t="shared" si="7"/>
        <v>1.4295747442400659</v>
      </c>
      <c r="G56" s="717">
        <f t="shared" si="7"/>
        <v>190.4071487041823</v>
      </c>
      <c r="H56" s="717">
        <f t="shared" si="7"/>
        <v>0</v>
      </c>
      <c r="I56" s="717">
        <f t="shared" si="7"/>
        <v>0</v>
      </c>
      <c r="J56" s="717">
        <f t="shared" si="7"/>
        <v>0</v>
      </c>
      <c r="K56" s="717">
        <f t="shared" si="7"/>
        <v>19.680114783698468</v>
      </c>
      <c r="L56" s="717">
        <f t="shared" si="7"/>
        <v>0</v>
      </c>
      <c r="M56" s="717">
        <f t="shared" si="7"/>
        <v>0</v>
      </c>
      <c r="N56" s="717">
        <f t="shared" si="7"/>
        <v>0</v>
      </c>
      <c r="O56" s="717">
        <f t="shared" si="7"/>
        <v>0</v>
      </c>
      <c r="P56" s="717">
        <f t="shared" si="7"/>
        <v>0</v>
      </c>
      <c r="Q56" s="718">
        <f t="shared" si="7"/>
        <v>0</v>
      </c>
      <c r="R56" s="719">
        <f ca="1">SUM(R54:R55)</f>
        <v>1763.970036412994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11561.649033548852</v>
      </c>
      <c r="D61" s="725">
        <f t="shared" ref="D61:Q61" ca="1" si="8">D46+D52+D56</f>
        <v>0</v>
      </c>
      <c r="E61" s="725">
        <f t="shared" ca="1" si="8"/>
        <v>21300.139844794769</v>
      </c>
      <c r="F61" s="725">
        <f t="shared" si="8"/>
        <v>547.4916832967732</v>
      </c>
      <c r="G61" s="725">
        <f t="shared" ca="1" si="8"/>
        <v>6365.3588614164128</v>
      </c>
      <c r="H61" s="725">
        <f t="shared" si="8"/>
        <v>9002.6304105333911</v>
      </c>
      <c r="I61" s="725">
        <f t="shared" si="8"/>
        <v>1782.0140803091881</v>
      </c>
      <c r="J61" s="725">
        <f t="shared" si="8"/>
        <v>0</v>
      </c>
      <c r="K61" s="725">
        <f t="shared" si="8"/>
        <v>80.937237638219514</v>
      </c>
      <c r="L61" s="725">
        <f t="shared" si="8"/>
        <v>0</v>
      </c>
      <c r="M61" s="725">
        <f t="shared" ca="1" si="8"/>
        <v>0</v>
      </c>
      <c r="N61" s="725">
        <f t="shared" si="8"/>
        <v>0</v>
      </c>
      <c r="O61" s="725">
        <f t="shared" ca="1" si="8"/>
        <v>0</v>
      </c>
      <c r="P61" s="725">
        <f t="shared" si="8"/>
        <v>0</v>
      </c>
      <c r="Q61" s="725">
        <f t="shared" si="8"/>
        <v>0</v>
      </c>
      <c r="R61" s="725">
        <f ca="1">R46+R52+R56</f>
        <v>50640.221151537611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0.19768166129602119</v>
      </c>
      <c r="D63" s="771">
        <f t="shared" ca="1" si="9"/>
        <v>0</v>
      </c>
      <c r="E63" s="969">
        <f t="shared" ca="1" si="9"/>
        <v>0.20200000000000004</v>
      </c>
      <c r="F63" s="771">
        <f t="shared" si="9"/>
        <v>0.22700000000000004</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6171.0452668062626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6171.0452668062626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19612.789258578487</v>
      </c>
      <c r="C4" s="448">
        <f>huishoudens!C8</f>
        <v>0</v>
      </c>
      <c r="D4" s="448">
        <f>huishoudens!D8</f>
        <v>56506.936342779998</v>
      </c>
      <c r="E4" s="448">
        <f>huishoudens!E8</f>
        <v>1079.5319671557565</v>
      </c>
      <c r="F4" s="448">
        <f>huishoudens!F8</f>
        <v>17403.494117595135</v>
      </c>
      <c r="G4" s="448">
        <f>huishoudens!G8</f>
        <v>0</v>
      </c>
      <c r="H4" s="448">
        <f>huishoudens!H8</f>
        <v>0</v>
      </c>
      <c r="I4" s="448">
        <f>huishoudens!I8</f>
        <v>0</v>
      </c>
      <c r="J4" s="448">
        <f>huishoudens!J8</f>
        <v>69.526191711810199</v>
      </c>
      <c r="K4" s="448">
        <f>huishoudens!K8</f>
        <v>0</v>
      </c>
      <c r="L4" s="448">
        <f>huishoudens!L8</f>
        <v>0</v>
      </c>
      <c r="M4" s="448">
        <f>huishoudens!M8</f>
        <v>0</v>
      </c>
      <c r="N4" s="448">
        <f>huishoudens!N8</f>
        <v>7255.2166621146644</v>
      </c>
      <c r="O4" s="448">
        <f>huishoudens!O8</f>
        <v>289.65790003050665</v>
      </c>
      <c r="P4" s="449">
        <f>huishoudens!P8</f>
        <v>200.14522684601545</v>
      </c>
      <c r="Q4" s="450">
        <f>SUM(B4:P4)</f>
        <v>102417.29766681236</v>
      </c>
    </row>
    <row r="5" spans="1:17">
      <c r="A5" s="447" t="s">
        <v>155</v>
      </c>
      <c r="B5" s="448">
        <f ca="1">tertiair!B16</f>
        <v>20993.437883000002</v>
      </c>
      <c r="C5" s="448">
        <f ca="1">tertiair!C16</f>
        <v>0</v>
      </c>
      <c r="D5" s="448">
        <f ca="1">tertiair!D16</f>
        <v>20681.262668044001</v>
      </c>
      <c r="E5" s="448">
        <f>tertiair!E16</f>
        <v>301.83503941962641</v>
      </c>
      <c r="F5" s="448">
        <f ca="1">tertiair!F16</f>
        <v>2234.3850376450282</v>
      </c>
      <c r="G5" s="448">
        <f>tertiair!G16</f>
        <v>0</v>
      </c>
      <c r="H5" s="448">
        <f>tertiair!H16</f>
        <v>0</v>
      </c>
      <c r="I5" s="448">
        <f>tertiair!I16</f>
        <v>0</v>
      </c>
      <c r="J5" s="448">
        <f>tertiair!J16</f>
        <v>2.391136019059939E-2</v>
      </c>
      <c r="K5" s="448">
        <f>tertiair!K16</f>
        <v>0</v>
      </c>
      <c r="L5" s="448">
        <f ca="1">tertiair!L16</f>
        <v>0</v>
      </c>
      <c r="M5" s="448">
        <f>tertiair!M16</f>
        <v>0</v>
      </c>
      <c r="N5" s="448">
        <f ca="1">tertiair!N16</f>
        <v>968.08440919017312</v>
      </c>
      <c r="O5" s="448">
        <f>tertiair!O16</f>
        <v>14.691782297523464</v>
      </c>
      <c r="P5" s="449">
        <f>tertiair!P16</f>
        <v>105.07827661299004</v>
      </c>
      <c r="Q5" s="447">
        <f t="shared" ref="Q5:Q14" ca="1" si="0">SUM(B5:P5)</f>
        <v>45298.799007569542</v>
      </c>
    </row>
    <row r="6" spans="1:17">
      <c r="A6" s="447" t="s">
        <v>193</v>
      </c>
      <c r="B6" s="448">
        <f>'openbare verlichting'!B8</f>
        <v>819.83500000000004</v>
      </c>
      <c r="C6" s="448"/>
      <c r="D6" s="448"/>
      <c r="E6" s="448"/>
      <c r="F6" s="448"/>
      <c r="G6" s="448"/>
      <c r="H6" s="448"/>
      <c r="I6" s="448"/>
      <c r="J6" s="448"/>
      <c r="K6" s="448"/>
      <c r="L6" s="448"/>
      <c r="M6" s="448"/>
      <c r="N6" s="448"/>
      <c r="O6" s="448"/>
      <c r="P6" s="449"/>
      <c r="Q6" s="447">
        <f t="shared" si="0"/>
        <v>819.83500000000004</v>
      </c>
    </row>
    <row r="7" spans="1:17">
      <c r="A7" s="447" t="s">
        <v>111</v>
      </c>
      <c r="B7" s="448">
        <f>landbouw!B8</f>
        <v>201.786371</v>
      </c>
      <c r="C7" s="448">
        <f>landbouw!C8</f>
        <v>0</v>
      </c>
      <c r="D7" s="448">
        <f>landbouw!D8</f>
        <v>48.510623457999998</v>
      </c>
      <c r="E7" s="448">
        <f>landbouw!E8</f>
        <v>6.297686097973858</v>
      </c>
      <c r="F7" s="448">
        <f>landbouw!F8</f>
        <v>713.13538840517708</v>
      </c>
      <c r="G7" s="448">
        <f>landbouw!G8</f>
        <v>0</v>
      </c>
      <c r="H7" s="448">
        <f>landbouw!H8</f>
        <v>0</v>
      </c>
      <c r="I7" s="448">
        <f>landbouw!I8</f>
        <v>0</v>
      </c>
      <c r="J7" s="448">
        <f>landbouw!J8</f>
        <v>55.593544586718835</v>
      </c>
      <c r="K7" s="448">
        <f>landbouw!K8</f>
        <v>0</v>
      </c>
      <c r="L7" s="448">
        <f>landbouw!L8</f>
        <v>0</v>
      </c>
      <c r="M7" s="448">
        <f>landbouw!M8</f>
        <v>0</v>
      </c>
      <c r="N7" s="448">
        <f>landbouw!N8</f>
        <v>0</v>
      </c>
      <c r="O7" s="448">
        <f>landbouw!O8</f>
        <v>0</v>
      </c>
      <c r="P7" s="449">
        <f>landbouw!P8</f>
        <v>0</v>
      </c>
      <c r="Q7" s="447">
        <f t="shared" si="0"/>
        <v>1025.3236135478696</v>
      </c>
    </row>
    <row r="8" spans="1:17">
      <c r="A8" s="447" t="s">
        <v>618</v>
      </c>
      <c r="B8" s="448">
        <f>industrie!B18</f>
        <v>16232.609047999998</v>
      </c>
      <c r="C8" s="448">
        <f>industrie!C18</f>
        <v>0</v>
      </c>
      <c r="D8" s="448">
        <f>industrie!D18</f>
        <v>21246.459936966003</v>
      </c>
      <c r="E8" s="448">
        <f>industrie!E18</f>
        <v>954.83309258270288</v>
      </c>
      <c r="F8" s="448">
        <f>industrie!F18</f>
        <v>3489.2808174648221</v>
      </c>
      <c r="G8" s="448">
        <f>industrie!G18</f>
        <v>0</v>
      </c>
      <c r="H8" s="448">
        <f>industrie!H18</f>
        <v>0</v>
      </c>
      <c r="I8" s="448">
        <f>industrie!I18</f>
        <v>0</v>
      </c>
      <c r="J8" s="448">
        <f>industrie!J18</f>
        <v>103.49261685602475</v>
      </c>
      <c r="K8" s="448">
        <f>industrie!K18</f>
        <v>0</v>
      </c>
      <c r="L8" s="448">
        <f>industrie!L18</f>
        <v>0</v>
      </c>
      <c r="M8" s="448">
        <f>industrie!M18</f>
        <v>0</v>
      </c>
      <c r="N8" s="448">
        <f>industrie!N18</f>
        <v>638.35471437661329</v>
      </c>
      <c r="O8" s="448">
        <f>industrie!O18</f>
        <v>0</v>
      </c>
      <c r="P8" s="449">
        <f>industrie!P18</f>
        <v>0</v>
      </c>
      <c r="Q8" s="447">
        <f t="shared" si="0"/>
        <v>42665.030226246163</v>
      </c>
    </row>
    <row r="9" spans="1:17" s="453" customFormat="1">
      <c r="A9" s="451" t="s">
        <v>544</v>
      </c>
      <c r="B9" s="452">
        <f>transport!B14</f>
        <v>43.139158378474612</v>
      </c>
      <c r="C9" s="452">
        <f>transport!C14</f>
        <v>0</v>
      </c>
      <c r="D9" s="452">
        <f>transport!D14</f>
        <v>80.796014171632436</v>
      </c>
      <c r="E9" s="452">
        <f>transport!E14</f>
        <v>69.359850412544347</v>
      </c>
      <c r="F9" s="452">
        <f>transport!F14</f>
        <v>0</v>
      </c>
      <c r="G9" s="452">
        <f>transport!G14</f>
        <v>32755.987500398733</v>
      </c>
      <c r="H9" s="452">
        <f>transport!H14</f>
        <v>7156.6830534505543</v>
      </c>
      <c r="I9" s="452">
        <f>transport!I14</f>
        <v>0</v>
      </c>
      <c r="J9" s="452">
        <f>transport!J14</f>
        <v>0</v>
      </c>
      <c r="K9" s="452">
        <f>transport!K14</f>
        <v>0</v>
      </c>
      <c r="L9" s="452">
        <f>transport!L14</f>
        <v>0</v>
      </c>
      <c r="M9" s="452">
        <f>transport!M14</f>
        <v>2361.9594350521543</v>
      </c>
      <c r="N9" s="452">
        <f>transport!N14</f>
        <v>0</v>
      </c>
      <c r="O9" s="452">
        <f>transport!O14</f>
        <v>0</v>
      </c>
      <c r="P9" s="452">
        <f>transport!P14</f>
        <v>0</v>
      </c>
      <c r="Q9" s="451">
        <f>SUM(B9:P9)</f>
        <v>42467.925011864092</v>
      </c>
    </row>
    <row r="10" spans="1:17">
      <c r="A10" s="447" t="s">
        <v>534</v>
      </c>
      <c r="B10" s="448">
        <f>transport!B54</f>
        <v>13.274111807909378</v>
      </c>
      <c r="C10" s="448">
        <f>transport!C54</f>
        <v>0</v>
      </c>
      <c r="D10" s="448">
        <f>transport!D54</f>
        <v>0</v>
      </c>
      <c r="E10" s="448">
        <f>transport!E54</f>
        <v>0</v>
      </c>
      <c r="F10" s="448">
        <f>transport!F54</f>
        <v>0</v>
      </c>
      <c r="G10" s="448">
        <f>transport!G54</f>
        <v>961.72939298475251</v>
      </c>
      <c r="H10" s="448">
        <f>transport!H54</f>
        <v>0</v>
      </c>
      <c r="I10" s="448">
        <f>transport!I54</f>
        <v>0</v>
      </c>
      <c r="J10" s="448">
        <f>transport!J54</f>
        <v>0</v>
      </c>
      <c r="K10" s="448">
        <f>transport!K54</f>
        <v>0</v>
      </c>
      <c r="L10" s="448">
        <f>transport!L54</f>
        <v>0</v>
      </c>
      <c r="M10" s="448">
        <f>transport!M54</f>
        <v>54.398278498357122</v>
      </c>
      <c r="N10" s="448">
        <f>transport!N54</f>
        <v>0</v>
      </c>
      <c r="O10" s="448">
        <f>transport!O54</f>
        <v>0</v>
      </c>
      <c r="P10" s="449">
        <f>transport!P54</f>
        <v>0</v>
      </c>
      <c r="Q10" s="447">
        <f t="shared" si="0"/>
        <v>1029.401783291019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569.32843400000002</v>
      </c>
      <c r="C14" s="455"/>
      <c r="D14" s="455">
        <f>'SEAP template'!E25</f>
        <v>6882.2712699999993</v>
      </c>
      <c r="E14" s="455"/>
      <c r="F14" s="455"/>
      <c r="G14" s="455"/>
      <c r="H14" s="455"/>
      <c r="I14" s="455"/>
      <c r="J14" s="455"/>
      <c r="K14" s="455"/>
      <c r="L14" s="455"/>
      <c r="M14" s="455"/>
      <c r="N14" s="455"/>
      <c r="O14" s="455"/>
      <c r="P14" s="456"/>
      <c r="Q14" s="447">
        <f t="shared" si="0"/>
        <v>7451.5997039999993</v>
      </c>
    </row>
    <row r="15" spans="1:17" s="459" customFormat="1">
      <c r="A15" s="457" t="s">
        <v>538</v>
      </c>
      <c r="B15" s="458">
        <f ca="1">SUM(B4:B14)</f>
        <v>58486.199264764873</v>
      </c>
      <c r="C15" s="458">
        <f t="shared" ref="C15:Q15" ca="1" si="1">SUM(C4:C14)</f>
        <v>0</v>
      </c>
      <c r="D15" s="458">
        <f t="shared" ca="1" si="1"/>
        <v>105446.23685541963</v>
      </c>
      <c r="E15" s="458">
        <f t="shared" si="1"/>
        <v>2411.857635668604</v>
      </c>
      <c r="F15" s="458">
        <f t="shared" ca="1" si="1"/>
        <v>23840.295361110166</v>
      </c>
      <c r="G15" s="458">
        <f t="shared" si="1"/>
        <v>33717.716893383484</v>
      </c>
      <c r="H15" s="458">
        <f t="shared" si="1"/>
        <v>7156.6830534505543</v>
      </c>
      <c r="I15" s="458">
        <f t="shared" si="1"/>
        <v>0</v>
      </c>
      <c r="J15" s="458">
        <f t="shared" si="1"/>
        <v>228.63626451474437</v>
      </c>
      <c r="K15" s="458">
        <f t="shared" si="1"/>
        <v>0</v>
      </c>
      <c r="L15" s="458">
        <f t="shared" ca="1" si="1"/>
        <v>0</v>
      </c>
      <c r="M15" s="458">
        <f t="shared" si="1"/>
        <v>2416.3577135505116</v>
      </c>
      <c r="N15" s="458">
        <f t="shared" ca="1" si="1"/>
        <v>8861.6557856814507</v>
      </c>
      <c r="O15" s="458">
        <f t="shared" si="1"/>
        <v>304.3496823280301</v>
      </c>
      <c r="P15" s="458">
        <f t="shared" si="1"/>
        <v>305.22350345900549</v>
      </c>
      <c r="Q15" s="458">
        <f t="shared" ca="1" si="1"/>
        <v>243175.21201333101</v>
      </c>
    </row>
    <row r="17" spans="1:17">
      <c r="A17" s="460" t="s">
        <v>539</v>
      </c>
      <c r="B17" s="776">
        <f ca="1">huishoudens!B10</f>
        <v>0.19768166129602116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3877.0887632845543</v>
      </c>
      <c r="C22" s="448">
        <f t="shared" ref="C22:C32" ca="1" si="3">C4*$C$17</f>
        <v>0</v>
      </c>
      <c r="D22" s="448">
        <f t="shared" ref="D22:D32" si="4">D4*$D$17</f>
        <v>11414.40114124156</v>
      </c>
      <c r="E22" s="448">
        <f t="shared" ref="E22:E32" si="5">E4*$E$17</f>
        <v>245.05375654435673</v>
      </c>
      <c r="F22" s="448">
        <f t="shared" ref="F22:F32" si="6">F4*$F$17</f>
        <v>4646.732929397901</v>
      </c>
      <c r="G22" s="448">
        <f t="shared" ref="G22:G32" si="7">G4*$G$17</f>
        <v>0</v>
      </c>
      <c r="H22" s="448">
        <f t="shared" ref="H22:H32" si="8">H4*$H$17</f>
        <v>0</v>
      </c>
      <c r="I22" s="448">
        <f t="shared" ref="I22:I32" si="9">I4*$I$17</f>
        <v>0</v>
      </c>
      <c r="J22" s="448">
        <f t="shared" ref="J22:J32" si="10">J4*$J$17</f>
        <v>24.612271865980809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20207.888862334356</v>
      </c>
    </row>
    <row r="23" spans="1:17">
      <c r="A23" s="447" t="s">
        <v>155</v>
      </c>
      <c r="B23" s="448">
        <f t="shared" ca="1" si="2"/>
        <v>4150.017677026266</v>
      </c>
      <c r="C23" s="448">
        <f t="shared" ca="1" si="3"/>
        <v>0</v>
      </c>
      <c r="D23" s="448">
        <f t="shared" ca="1" si="4"/>
        <v>4177.615058944888</v>
      </c>
      <c r="E23" s="448">
        <f t="shared" si="5"/>
        <v>68.516553948255194</v>
      </c>
      <c r="F23" s="448">
        <f t="shared" ca="1" si="6"/>
        <v>596.58080505122257</v>
      </c>
      <c r="G23" s="448">
        <f t="shared" si="7"/>
        <v>0</v>
      </c>
      <c r="H23" s="448">
        <f t="shared" si="8"/>
        <v>0</v>
      </c>
      <c r="I23" s="448">
        <f t="shared" si="9"/>
        <v>0</v>
      </c>
      <c r="J23" s="448">
        <f t="shared" si="10"/>
        <v>8.4646215074721844E-3</v>
      </c>
      <c r="K23" s="448">
        <f t="shared" si="11"/>
        <v>0</v>
      </c>
      <c r="L23" s="448">
        <f t="shared" ca="1" si="12"/>
        <v>0</v>
      </c>
      <c r="M23" s="448">
        <f t="shared" si="13"/>
        <v>0</v>
      </c>
      <c r="N23" s="448">
        <f t="shared" ca="1" si="14"/>
        <v>0</v>
      </c>
      <c r="O23" s="448">
        <f t="shared" si="15"/>
        <v>0</v>
      </c>
      <c r="P23" s="449">
        <f t="shared" si="16"/>
        <v>0</v>
      </c>
      <c r="Q23" s="447">
        <f t="shared" ref="Q23:Q31" ca="1" si="17">SUM(B23:P23)</f>
        <v>8992.7385595921387</v>
      </c>
    </row>
    <row r="24" spans="1:17">
      <c r="A24" s="447" t="s">
        <v>193</v>
      </c>
      <c r="B24" s="448">
        <f t="shared" ca="1" si="2"/>
        <v>162.06634478862352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162.06634478862352</v>
      </c>
    </row>
    <row r="25" spans="1:17">
      <c r="A25" s="447" t="s">
        <v>111</v>
      </c>
      <c r="B25" s="448">
        <f t="shared" ca="1" si="2"/>
        <v>39.889465046175268</v>
      </c>
      <c r="C25" s="448">
        <f t="shared" ca="1" si="3"/>
        <v>0</v>
      </c>
      <c r="D25" s="448">
        <f t="shared" si="4"/>
        <v>9.7991459385160002</v>
      </c>
      <c r="E25" s="448">
        <f t="shared" si="5"/>
        <v>1.4295747442400659</v>
      </c>
      <c r="F25" s="448">
        <f t="shared" si="6"/>
        <v>190.4071487041823</v>
      </c>
      <c r="G25" s="448">
        <f t="shared" si="7"/>
        <v>0</v>
      </c>
      <c r="H25" s="448">
        <f t="shared" si="8"/>
        <v>0</v>
      </c>
      <c r="I25" s="448">
        <f t="shared" si="9"/>
        <v>0</v>
      </c>
      <c r="J25" s="448">
        <f t="shared" si="10"/>
        <v>19.680114783698468</v>
      </c>
      <c r="K25" s="448">
        <f t="shared" si="11"/>
        <v>0</v>
      </c>
      <c r="L25" s="448">
        <f t="shared" si="12"/>
        <v>0</v>
      </c>
      <c r="M25" s="448">
        <f t="shared" si="13"/>
        <v>0</v>
      </c>
      <c r="N25" s="448">
        <f t="shared" si="14"/>
        <v>0</v>
      </c>
      <c r="O25" s="448">
        <f t="shared" si="15"/>
        <v>0</v>
      </c>
      <c r="P25" s="449">
        <f t="shared" si="16"/>
        <v>0</v>
      </c>
      <c r="Q25" s="447">
        <f t="shared" ca="1" si="17"/>
        <v>261.2054492168121</v>
      </c>
    </row>
    <row r="26" spans="1:17">
      <c r="A26" s="447" t="s">
        <v>618</v>
      </c>
      <c r="B26" s="448">
        <f t="shared" ca="1" si="2"/>
        <v>3208.8891237774642</v>
      </c>
      <c r="C26" s="448">
        <f t="shared" ca="1" si="3"/>
        <v>0</v>
      </c>
      <c r="D26" s="448">
        <f t="shared" si="4"/>
        <v>4291.7849072671324</v>
      </c>
      <c r="E26" s="448">
        <f t="shared" si="5"/>
        <v>216.74711201627355</v>
      </c>
      <c r="F26" s="448">
        <f t="shared" si="6"/>
        <v>931.63797826310758</v>
      </c>
      <c r="G26" s="448">
        <f t="shared" si="7"/>
        <v>0</v>
      </c>
      <c r="H26" s="448">
        <f t="shared" si="8"/>
        <v>0</v>
      </c>
      <c r="I26" s="448">
        <f t="shared" si="9"/>
        <v>0</v>
      </c>
      <c r="J26" s="448">
        <f t="shared" si="10"/>
        <v>36.636386367032763</v>
      </c>
      <c r="K26" s="448">
        <f t="shared" si="11"/>
        <v>0</v>
      </c>
      <c r="L26" s="448">
        <f t="shared" si="12"/>
        <v>0</v>
      </c>
      <c r="M26" s="448">
        <f t="shared" si="13"/>
        <v>0</v>
      </c>
      <c r="N26" s="448">
        <f t="shared" si="14"/>
        <v>0</v>
      </c>
      <c r="O26" s="448">
        <f t="shared" si="15"/>
        <v>0</v>
      </c>
      <c r="P26" s="449">
        <f t="shared" si="16"/>
        <v>0</v>
      </c>
      <c r="Q26" s="447">
        <f t="shared" ca="1" si="17"/>
        <v>8685.6955076910108</v>
      </c>
    </row>
    <row r="27" spans="1:17" s="453" customFormat="1">
      <c r="A27" s="451" t="s">
        <v>544</v>
      </c>
      <c r="B27" s="770">
        <f t="shared" ca="1" si="2"/>
        <v>8.5278204951690313</v>
      </c>
      <c r="C27" s="452">
        <f t="shared" ca="1" si="3"/>
        <v>0</v>
      </c>
      <c r="D27" s="452">
        <f t="shared" si="4"/>
        <v>16.320794862669754</v>
      </c>
      <c r="E27" s="452">
        <f t="shared" si="5"/>
        <v>15.744686043647567</v>
      </c>
      <c r="F27" s="452">
        <f t="shared" si="6"/>
        <v>0</v>
      </c>
      <c r="G27" s="452">
        <f t="shared" si="7"/>
        <v>8745.8486626064623</v>
      </c>
      <c r="H27" s="452">
        <f t="shared" si="8"/>
        <v>1782.0140803091881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10568.456044317136</v>
      </c>
    </row>
    <row r="28" spans="1:17" ht="16.5" customHeight="1">
      <c r="A28" s="447" t="s">
        <v>534</v>
      </c>
      <c r="B28" s="448">
        <f t="shared" ca="1" si="2"/>
        <v>2.6240484744166568</v>
      </c>
      <c r="C28" s="448">
        <f t="shared" ca="1" si="3"/>
        <v>0</v>
      </c>
      <c r="D28" s="448">
        <f t="shared" si="4"/>
        <v>0</v>
      </c>
      <c r="E28" s="448">
        <f t="shared" si="5"/>
        <v>0</v>
      </c>
      <c r="F28" s="448">
        <f t="shared" si="6"/>
        <v>0</v>
      </c>
      <c r="G28" s="448">
        <f t="shared" si="7"/>
        <v>256.78174792692892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259.40579640134558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112.54579065618213</v>
      </c>
      <c r="C32" s="448">
        <f t="shared" ca="1" si="3"/>
        <v>0</v>
      </c>
      <c r="D32" s="448">
        <f t="shared" si="4"/>
        <v>1390.2187965399999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1502.764587196182</v>
      </c>
    </row>
    <row r="33" spans="1:17" s="459" customFormat="1">
      <c r="A33" s="457" t="s">
        <v>538</v>
      </c>
      <c r="B33" s="458">
        <f ca="1">SUM(B22:B32)</f>
        <v>11561.649033548851</v>
      </c>
      <c r="C33" s="458">
        <f t="shared" ref="C33:Q33" ca="1" si="19">SUM(C22:C32)</f>
        <v>0</v>
      </c>
      <c r="D33" s="458">
        <f t="shared" ca="1" si="19"/>
        <v>21300.139844794769</v>
      </c>
      <c r="E33" s="458">
        <f t="shared" si="19"/>
        <v>547.49168329677309</v>
      </c>
      <c r="F33" s="458">
        <f t="shared" ca="1" si="19"/>
        <v>6365.3588614164128</v>
      </c>
      <c r="G33" s="458">
        <f t="shared" si="19"/>
        <v>9002.6304105333911</v>
      </c>
      <c r="H33" s="458">
        <f t="shared" si="19"/>
        <v>1782.0140803091881</v>
      </c>
      <c r="I33" s="458">
        <f t="shared" si="19"/>
        <v>0</v>
      </c>
      <c r="J33" s="458">
        <f t="shared" si="19"/>
        <v>80.9372376382195</v>
      </c>
      <c r="K33" s="458">
        <f t="shared" si="19"/>
        <v>0</v>
      </c>
      <c r="L33" s="458">
        <f t="shared" ca="1" si="19"/>
        <v>0</v>
      </c>
      <c r="M33" s="458">
        <f t="shared" si="19"/>
        <v>0</v>
      </c>
      <c r="N33" s="458">
        <f t="shared" ca="1" si="19"/>
        <v>0</v>
      </c>
      <c r="O33" s="458">
        <f t="shared" si="19"/>
        <v>0</v>
      </c>
      <c r="P33" s="458">
        <f t="shared" si="19"/>
        <v>0</v>
      </c>
      <c r="Q33" s="458">
        <f t="shared" ca="1" si="19"/>
        <v>50640.221151537604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6171.0452668062626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6171.0452668062626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0.19768166129602116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0.19768166129602116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4</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210.15655322598008</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0.19768166129602116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0.19768166129602116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5594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284.89999999999998</v>
      </c>
      <c r="C14" s="326"/>
      <c r="D14" s="326"/>
      <c r="E14" s="326"/>
      <c r="F14" s="326"/>
    </row>
    <row r="15" spans="1:6">
      <c r="A15" s="1298" t="s">
        <v>183</v>
      </c>
      <c r="B15" s="1299">
        <v>3</v>
      </c>
      <c r="C15" s="326"/>
      <c r="D15" s="326"/>
      <c r="E15" s="326"/>
      <c r="F15" s="326"/>
    </row>
    <row r="16" spans="1:6">
      <c r="A16" s="1298" t="s">
        <v>6</v>
      </c>
      <c r="B16" s="1299">
        <v>65</v>
      </c>
      <c r="C16" s="326"/>
      <c r="D16" s="326"/>
      <c r="E16" s="326"/>
      <c r="F16" s="326"/>
    </row>
    <row r="17" spans="1:6">
      <c r="A17" s="1298" t="s">
        <v>7</v>
      </c>
      <c r="B17" s="1299">
        <v>137</v>
      </c>
      <c r="C17" s="326"/>
      <c r="D17" s="326"/>
      <c r="E17" s="326"/>
      <c r="F17" s="326"/>
    </row>
    <row r="18" spans="1:6">
      <c r="A18" s="1298" t="s">
        <v>8</v>
      </c>
      <c r="B18" s="1299">
        <v>206</v>
      </c>
      <c r="C18" s="326"/>
      <c r="D18" s="326"/>
      <c r="E18" s="326"/>
      <c r="F18" s="326"/>
    </row>
    <row r="19" spans="1:6">
      <c r="A19" s="1298" t="s">
        <v>9</v>
      </c>
      <c r="B19" s="1299">
        <v>134</v>
      </c>
      <c r="C19" s="326"/>
      <c r="D19" s="326"/>
      <c r="E19" s="326"/>
      <c r="F19" s="326"/>
    </row>
    <row r="20" spans="1:6">
      <c r="A20" s="1298" t="s">
        <v>10</v>
      </c>
      <c r="B20" s="1299">
        <v>108</v>
      </c>
      <c r="C20" s="326"/>
      <c r="D20" s="326"/>
      <c r="E20" s="326"/>
      <c r="F20" s="326"/>
    </row>
    <row r="21" spans="1:6">
      <c r="A21" s="1298" t="s">
        <v>11</v>
      </c>
      <c r="B21" s="1299">
        <v>0</v>
      </c>
      <c r="C21" s="326"/>
      <c r="D21" s="326"/>
      <c r="E21" s="326"/>
      <c r="F21" s="326"/>
    </row>
    <row r="22" spans="1:6">
      <c r="A22" s="1298" t="s">
        <v>12</v>
      </c>
      <c r="B22" s="1299">
        <v>237</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5</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18</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37501.249000000003</v>
      </c>
    </row>
    <row r="39" spans="1:6">
      <c r="A39" s="1298" t="s">
        <v>29</v>
      </c>
      <c r="B39" s="1298" t="s">
        <v>30</v>
      </c>
      <c r="C39" s="1299">
        <v>4551</v>
      </c>
      <c r="D39" s="1299">
        <v>62646270.890000001</v>
      </c>
      <c r="E39" s="1299">
        <v>5440</v>
      </c>
      <c r="F39" s="1299">
        <v>16932724.199999999</v>
      </c>
    </row>
    <row r="40" spans="1:6">
      <c r="A40" s="1298" t="s">
        <v>29</v>
      </c>
      <c r="B40" s="1298" t="s">
        <v>28</v>
      </c>
      <c r="C40" s="1299">
        <v>0</v>
      </c>
      <c r="D40" s="1299">
        <v>0</v>
      </c>
      <c r="E40" s="1299">
        <v>0</v>
      </c>
      <c r="F40" s="1299">
        <v>0</v>
      </c>
    </row>
    <row r="41" spans="1:6">
      <c r="A41" s="1298" t="s">
        <v>31</v>
      </c>
      <c r="B41" s="1298" t="s">
        <v>32</v>
      </c>
      <c r="C41" s="1299">
        <v>104</v>
      </c>
      <c r="D41" s="1299">
        <v>2466589.1850000001</v>
      </c>
      <c r="E41" s="1299">
        <v>188</v>
      </c>
      <c r="F41" s="1299">
        <v>1289611.5060000001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238889.61199999999</v>
      </c>
      <c r="E44" s="1299">
        <v>24</v>
      </c>
      <c r="F44" s="1299">
        <v>2143168.2940000002</v>
      </c>
    </row>
    <row r="45" spans="1:6">
      <c r="A45" s="1298" t="s">
        <v>31</v>
      </c>
      <c r="B45" s="1298" t="s">
        <v>36</v>
      </c>
      <c r="C45" s="1299">
        <v>0</v>
      </c>
      <c r="D45" s="1299">
        <v>0</v>
      </c>
      <c r="E45" s="1299">
        <v>3</v>
      </c>
      <c r="F45" s="1299">
        <v>29675.777999999998</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45</v>
      </c>
      <c r="D48" s="1299">
        <v>20501576.390000001</v>
      </c>
      <c r="E48" s="1299">
        <v>44</v>
      </c>
      <c r="F48" s="1299">
        <v>12265509.789999999</v>
      </c>
    </row>
    <row r="49" spans="1:6">
      <c r="A49" s="1298" t="s">
        <v>31</v>
      </c>
      <c r="B49" s="1298" t="s">
        <v>39</v>
      </c>
      <c r="C49" s="1299">
        <v>0</v>
      </c>
      <c r="D49" s="1299">
        <v>0</v>
      </c>
      <c r="E49" s="1299">
        <v>4</v>
      </c>
      <c r="F49" s="1299">
        <v>72789.054000000004</v>
      </c>
    </row>
    <row r="50" spans="1:6">
      <c r="A50" s="1298" t="s">
        <v>31</v>
      </c>
      <c r="B50" s="1298" t="s">
        <v>40</v>
      </c>
      <c r="C50" s="1299">
        <v>4</v>
      </c>
      <c r="D50" s="1299">
        <v>347778.446</v>
      </c>
      <c r="E50" s="1299">
        <v>12</v>
      </c>
      <c r="F50" s="1299">
        <v>431854.62599999999</v>
      </c>
    </row>
    <row r="51" spans="1:6">
      <c r="A51" s="1298" t="s">
        <v>41</v>
      </c>
      <c r="B51" s="1298" t="s">
        <v>42</v>
      </c>
      <c r="C51" s="1299">
        <v>0</v>
      </c>
      <c r="D51" s="1299">
        <v>0</v>
      </c>
      <c r="E51" s="1299">
        <v>11</v>
      </c>
      <c r="F51" s="1299">
        <v>106869.30100000001</v>
      </c>
    </row>
    <row r="52" spans="1:6">
      <c r="A52" s="1298" t="s">
        <v>41</v>
      </c>
      <c r="B52" s="1298" t="s">
        <v>28</v>
      </c>
      <c r="C52" s="1299">
        <v>3</v>
      </c>
      <c r="D52" s="1299">
        <v>53781.178999999996</v>
      </c>
      <c r="E52" s="1299">
        <v>5</v>
      </c>
      <c r="F52" s="1299">
        <v>94917.07</v>
      </c>
    </row>
    <row r="53" spans="1:6">
      <c r="A53" s="1298" t="s">
        <v>43</v>
      </c>
      <c r="B53" s="1298" t="s">
        <v>44</v>
      </c>
      <c r="C53" s="1299">
        <v>96</v>
      </c>
      <c r="D53" s="1299">
        <v>6882271.2699999996</v>
      </c>
      <c r="E53" s="1299">
        <v>173</v>
      </c>
      <c r="F53" s="1299">
        <v>569328.43400000001</v>
      </c>
    </row>
    <row r="54" spans="1:6">
      <c r="A54" s="1298" t="s">
        <v>45</v>
      </c>
      <c r="B54" s="1298" t="s">
        <v>46</v>
      </c>
      <c r="C54" s="1299">
        <v>0</v>
      </c>
      <c r="D54" s="1299">
        <v>0</v>
      </c>
      <c r="E54" s="1299">
        <v>1</v>
      </c>
      <c r="F54" s="1299">
        <v>819835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39</v>
      </c>
      <c r="D57" s="1299">
        <v>1454979.625</v>
      </c>
      <c r="E57" s="1299">
        <v>61</v>
      </c>
      <c r="F57" s="1299">
        <v>1018227.298</v>
      </c>
    </row>
    <row r="58" spans="1:6">
      <c r="A58" s="1298" t="s">
        <v>48</v>
      </c>
      <c r="B58" s="1298" t="s">
        <v>50</v>
      </c>
      <c r="C58" s="1299">
        <v>48</v>
      </c>
      <c r="D58" s="1299">
        <v>3021422.102</v>
      </c>
      <c r="E58" s="1299">
        <v>63</v>
      </c>
      <c r="F58" s="1299">
        <v>3501883.514</v>
      </c>
    </row>
    <row r="59" spans="1:6">
      <c r="A59" s="1298" t="s">
        <v>48</v>
      </c>
      <c r="B59" s="1298" t="s">
        <v>51</v>
      </c>
      <c r="C59" s="1299">
        <v>134</v>
      </c>
      <c r="D59" s="1299">
        <v>5755443.6229999997</v>
      </c>
      <c r="E59" s="1299">
        <v>235</v>
      </c>
      <c r="F59" s="1299">
        <v>7313399.4850000003</v>
      </c>
    </row>
    <row r="60" spans="1:6">
      <c r="A60" s="1298" t="s">
        <v>48</v>
      </c>
      <c r="B60" s="1298" t="s">
        <v>52</v>
      </c>
      <c r="C60" s="1299">
        <v>51</v>
      </c>
      <c r="D60" s="1299">
        <v>2753528.5240000002</v>
      </c>
      <c r="E60" s="1299">
        <v>61</v>
      </c>
      <c r="F60" s="1299">
        <v>1858093.63</v>
      </c>
    </row>
    <row r="61" spans="1:6">
      <c r="A61" s="1298" t="s">
        <v>48</v>
      </c>
      <c r="B61" s="1298" t="s">
        <v>53</v>
      </c>
      <c r="C61" s="1299">
        <v>141</v>
      </c>
      <c r="D61" s="1299">
        <v>3171315.514</v>
      </c>
      <c r="E61" s="1299">
        <v>290</v>
      </c>
      <c r="F61" s="1299">
        <v>3734672.287</v>
      </c>
    </row>
    <row r="62" spans="1:6">
      <c r="A62" s="1298" t="s">
        <v>48</v>
      </c>
      <c r="B62" s="1298" t="s">
        <v>54</v>
      </c>
      <c r="C62" s="1299">
        <v>29</v>
      </c>
      <c r="D62" s="1299">
        <v>2896286.4249999998</v>
      </c>
      <c r="E62" s="1299">
        <v>9</v>
      </c>
      <c r="F62" s="1299">
        <v>109785.784</v>
      </c>
    </row>
    <row r="63" spans="1:6">
      <c r="A63" s="1298" t="s">
        <v>48</v>
      </c>
      <c r="B63" s="1298" t="s">
        <v>28</v>
      </c>
      <c r="C63" s="1299">
        <v>106</v>
      </c>
      <c r="D63" s="1299">
        <v>3875253.3089999999</v>
      </c>
      <c r="E63" s="1299">
        <v>114</v>
      </c>
      <c r="F63" s="1299">
        <v>3457375.8849999998</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10877.49</v>
      </c>
    </row>
    <row r="66" spans="1:6">
      <c r="A66" s="1298" t="s">
        <v>55</v>
      </c>
      <c r="B66" s="1298" t="s">
        <v>57</v>
      </c>
      <c r="C66" s="1299">
        <v>0</v>
      </c>
      <c r="D66" s="1299">
        <v>0</v>
      </c>
      <c r="E66" s="1299">
        <v>10</v>
      </c>
      <c r="F66" s="1299">
        <v>54292.896999999997</v>
      </c>
    </row>
    <row r="67" spans="1:6">
      <c r="A67" s="1300" t="s">
        <v>55</v>
      </c>
      <c r="B67" s="1300" t="s">
        <v>58</v>
      </c>
      <c r="C67" s="1299">
        <v>0</v>
      </c>
      <c r="D67" s="1299">
        <v>0</v>
      </c>
      <c r="E67" s="1299">
        <v>0</v>
      </c>
      <c r="F67" s="1299">
        <v>0</v>
      </c>
    </row>
    <row r="68" spans="1:6">
      <c r="A68" s="1293" t="s">
        <v>55</v>
      </c>
      <c r="B68" s="1293" t="s">
        <v>59</v>
      </c>
      <c r="C68" s="1302">
        <v>3</v>
      </c>
      <c r="D68" s="1302">
        <v>35343.262000000002</v>
      </c>
      <c r="E68" s="1302">
        <v>5</v>
      </c>
      <c r="F68" s="1302">
        <v>420283.92599999998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27439465</v>
      </c>
      <c r="E73" s="446"/>
      <c r="F73" s="326"/>
    </row>
    <row r="74" spans="1:6">
      <c r="A74" s="1298" t="s">
        <v>63</v>
      </c>
      <c r="B74" s="1298" t="s">
        <v>639</v>
      </c>
      <c r="C74" s="1312" t="s">
        <v>641</v>
      </c>
      <c r="D74" s="1313">
        <v>3345731.5</v>
      </c>
      <c r="E74" s="446"/>
      <c r="F74" s="326"/>
    </row>
    <row r="75" spans="1:6">
      <c r="A75" s="1298" t="s">
        <v>64</v>
      </c>
      <c r="B75" s="1298" t="s">
        <v>638</v>
      </c>
      <c r="C75" s="1312" t="s">
        <v>642</v>
      </c>
      <c r="D75" s="1313">
        <v>15101293</v>
      </c>
      <c r="E75" s="446"/>
      <c r="F75" s="326"/>
    </row>
    <row r="76" spans="1:6">
      <c r="A76" s="1298" t="s">
        <v>64</v>
      </c>
      <c r="B76" s="1298" t="s">
        <v>639</v>
      </c>
      <c r="C76" s="1312" t="s">
        <v>643</v>
      </c>
      <c r="D76" s="1313">
        <v>899986.5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282077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2680.0650585784852</v>
      </c>
      <c r="C91" s="326"/>
      <c r="D91" s="326"/>
      <c r="E91" s="326"/>
      <c r="F91" s="326"/>
    </row>
    <row r="92" spans="1:6">
      <c r="A92" s="1293" t="s">
        <v>68</v>
      </c>
      <c r="B92" s="1294">
        <v>3490.980208227777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3195</v>
      </c>
      <c r="C97" s="326"/>
      <c r="D97" s="326"/>
      <c r="E97" s="326"/>
      <c r="F97" s="326"/>
    </row>
    <row r="98" spans="1:6">
      <c r="A98" s="1298" t="s">
        <v>71</v>
      </c>
      <c r="B98" s="1299">
        <v>0</v>
      </c>
      <c r="C98" s="326"/>
      <c r="D98" s="326"/>
      <c r="E98" s="326"/>
      <c r="F98" s="326"/>
    </row>
    <row r="99" spans="1:6">
      <c r="A99" s="1298" t="s">
        <v>72</v>
      </c>
      <c r="B99" s="1299">
        <v>60</v>
      </c>
      <c r="C99" s="326"/>
      <c r="D99" s="326"/>
      <c r="E99" s="326"/>
      <c r="F99" s="326"/>
    </row>
    <row r="100" spans="1:6">
      <c r="A100" s="1298" t="s">
        <v>73</v>
      </c>
      <c r="B100" s="1299">
        <v>247</v>
      </c>
      <c r="C100" s="326"/>
      <c r="D100" s="326"/>
      <c r="E100" s="326"/>
      <c r="F100" s="326"/>
    </row>
    <row r="101" spans="1:6">
      <c r="A101" s="1298" t="s">
        <v>74</v>
      </c>
      <c r="B101" s="1299">
        <v>51</v>
      </c>
      <c r="C101" s="326"/>
      <c r="D101" s="326"/>
      <c r="E101" s="326"/>
      <c r="F101" s="326"/>
    </row>
    <row r="102" spans="1:6">
      <c r="A102" s="1298" t="s">
        <v>75</v>
      </c>
      <c r="B102" s="1299">
        <v>81</v>
      </c>
      <c r="C102" s="326"/>
      <c r="D102" s="326"/>
      <c r="E102" s="326"/>
      <c r="F102" s="326"/>
    </row>
    <row r="103" spans="1:6">
      <c r="A103" s="1298" t="s">
        <v>76</v>
      </c>
      <c r="B103" s="1299">
        <v>88</v>
      </c>
      <c r="C103" s="326"/>
      <c r="D103" s="326"/>
      <c r="E103" s="326"/>
      <c r="F103" s="326"/>
    </row>
    <row r="104" spans="1:6">
      <c r="A104" s="1298" t="s">
        <v>77</v>
      </c>
      <c r="B104" s="1299">
        <v>1163</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4</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v>
      </c>
      <c r="C123" s="1299">
        <v>18</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128</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58486.199264764866</v>
      </c>
      <c r="C3" s="43" t="s">
        <v>169</v>
      </c>
      <c r="D3" s="43"/>
      <c r="E3" s="154"/>
      <c r="F3" s="43"/>
      <c r="G3" s="43"/>
      <c r="H3" s="43"/>
      <c r="I3" s="43"/>
      <c r="J3" s="43"/>
      <c r="K3" s="96"/>
    </row>
    <row r="4" spans="1:11">
      <c r="A4" s="354" t="s">
        <v>170</v>
      </c>
      <c r="B4" s="49">
        <f>IF(ISERROR('SEAP template'!B78+'SEAP template'!C78),0,'SEAP template'!B78+'SEAP template'!C78)</f>
        <v>6171.0452668062626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0.19768166129602116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819.83500000000004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819.83500000000004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0.19768166129602116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162.06634478862352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16932.724200000001</v>
      </c>
      <c r="C5" s="17">
        <f>IF(ISERROR('Eigen informatie GS &amp; warmtenet'!B59),0,'Eigen informatie GS &amp; warmtenet'!B59)</f>
        <v>0</v>
      </c>
      <c r="D5" s="30">
        <f>(SUM(HH_hh_gas_kWh,HH_rest_gas_kWh)/1000)*0.902</f>
        <v>56506.936342779998</v>
      </c>
      <c r="E5" s="17">
        <f>B32*B41</f>
        <v>1079.5319671557565</v>
      </c>
      <c r="F5" s="17">
        <f>B36*B45</f>
        <v>17403.494117595135</v>
      </c>
      <c r="G5" s="18"/>
      <c r="H5" s="17"/>
      <c r="I5" s="17"/>
      <c r="J5" s="17">
        <f>B35*B44+C35*C44</f>
        <v>69.526191711810199</v>
      </c>
      <c r="K5" s="17"/>
      <c r="L5" s="17"/>
      <c r="M5" s="17"/>
      <c r="N5" s="17">
        <f>B34*B43+C34*C43</f>
        <v>7255.2166621146644</v>
      </c>
      <c r="O5" s="17">
        <f>B52*B53*B54</f>
        <v>289.65790003050665</v>
      </c>
      <c r="P5" s="17">
        <f>B60*B61*B62/1000-B60*B61*B62/1000/B63</f>
        <v>200.14522684601545</v>
      </c>
    </row>
    <row r="6" spans="1:16">
      <c r="A6" s="16" t="s">
        <v>604</v>
      </c>
      <c r="B6" s="778">
        <f>kWh_PV_kleiner_dan_10kW</f>
        <v>2680.0650585784852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19612.789258578487</v>
      </c>
      <c r="C8" s="21">
        <f>C5</f>
        <v>0</v>
      </c>
      <c r="D8" s="21">
        <f>D5</f>
        <v>56506.936342779998</v>
      </c>
      <c r="E8" s="21">
        <f>E5</f>
        <v>1079.5319671557565</v>
      </c>
      <c r="F8" s="21">
        <f>F5</f>
        <v>17403.494117595135</v>
      </c>
      <c r="G8" s="21"/>
      <c r="H8" s="21"/>
      <c r="I8" s="21"/>
      <c r="J8" s="21">
        <f>J5</f>
        <v>69.526191711810199</v>
      </c>
      <c r="K8" s="21"/>
      <c r="L8" s="21">
        <f>L5</f>
        <v>0</v>
      </c>
      <c r="M8" s="21">
        <f>M5</f>
        <v>0</v>
      </c>
      <c r="N8" s="21">
        <f>N5</f>
        <v>7255.2166621146644</v>
      </c>
      <c r="O8" s="21">
        <f>O5</f>
        <v>289.65790003050665</v>
      </c>
      <c r="P8" s="21">
        <f>P5</f>
        <v>200.14522684601545</v>
      </c>
    </row>
    <row r="9" spans="1:16">
      <c r="B9" s="19"/>
      <c r="C9" s="19"/>
      <c r="D9" s="256"/>
      <c r="E9" s="19"/>
      <c r="F9" s="19"/>
      <c r="G9" s="19"/>
      <c r="H9" s="19"/>
      <c r="I9" s="19"/>
      <c r="J9" s="19"/>
      <c r="K9" s="19"/>
      <c r="L9" s="19"/>
      <c r="M9" s="19"/>
      <c r="N9" s="19"/>
      <c r="O9" s="19"/>
      <c r="P9" s="19"/>
    </row>
    <row r="10" spans="1:16">
      <c r="A10" s="24" t="s">
        <v>213</v>
      </c>
      <c r="B10" s="25">
        <f ca="1">'EF ele_warmte'!B12</f>
        <v>0.19768166129602116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3877.0887632845543</v>
      </c>
      <c r="C12" s="23">
        <f ca="1">C10*C8</f>
        <v>0</v>
      </c>
      <c r="D12" s="23">
        <f>D8*D10</f>
        <v>11414.40114124156</v>
      </c>
      <c r="E12" s="23">
        <f>E10*E8</f>
        <v>245.05375654435673</v>
      </c>
      <c r="F12" s="23">
        <f>F10*F8</f>
        <v>4646.732929397901</v>
      </c>
      <c r="G12" s="23"/>
      <c r="H12" s="23"/>
      <c r="I12" s="23"/>
      <c r="J12" s="23">
        <f>J10*J8</f>
        <v>24.612271865980809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5594</v>
      </c>
      <c r="C26" s="36"/>
      <c r="D26" s="226"/>
    </row>
    <row r="27" spans="1:7" s="15" customFormat="1">
      <c r="A27" s="228" t="s">
        <v>806</v>
      </c>
      <c r="B27" s="37">
        <f>SUM(HH_hh_gas_aantal,HH_rest_gas_aantal)</f>
        <v>4551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4323.45</v>
      </c>
      <c r="C31" s="166" t="s">
        <v>110</v>
      </c>
      <c r="D31" s="231"/>
      <c r="G31" s="15"/>
    </row>
    <row r="32" spans="1:7">
      <c r="A32" s="169" t="s">
        <v>72</v>
      </c>
      <c r="B32" s="166">
        <f>IF((B21*($B$26-($B$27-0.05*$B$27)-$B$60))&lt;0,0,B21*($B$26-($B$27-0.05*$B$27)-$B$60))</f>
        <v>19.868604925393974</v>
      </c>
      <c r="C32" s="166" t="s">
        <v>110</v>
      </c>
      <c r="D32" s="231"/>
      <c r="G32" s="15"/>
    </row>
    <row r="33" spans="1:7">
      <c r="A33" s="169" t="s">
        <v>73</v>
      </c>
      <c r="B33" s="166">
        <f>IF((B22*($B$26-($B$27-0.05*$B$27)-$B$60))&lt;0,0,B22*($B$26-($B$27-0.05*$B$27)-$B$60))</f>
        <v>322.62679378443994</v>
      </c>
      <c r="C33" s="166" t="s">
        <v>110</v>
      </c>
      <c r="D33" s="231"/>
      <c r="G33" s="15"/>
    </row>
    <row r="34" spans="1:7">
      <c r="A34" s="169" t="s">
        <v>74</v>
      </c>
      <c r="B34" s="166">
        <f>IF((B24*($B$26-($B$27-0.05*$B$27)-$B$60))&lt;0,0,B24*($B$26-($B$27-0.05*$B$27)-$B$60))</f>
        <v>61.851873909961341</v>
      </c>
      <c r="C34" s="166">
        <f>B26*C24</f>
        <v>1146.2438272778081</v>
      </c>
      <c r="D34" s="231"/>
      <c r="G34" s="15"/>
    </row>
    <row r="35" spans="1:7">
      <c r="A35" s="169" t="s">
        <v>76</v>
      </c>
      <c r="B35" s="166">
        <f>IF((B19*($B$26-($B$27-0.05*$B$27)-$B$60))&lt;0,0,B19*($B$26-($B$27-0.05*$B$27)-$B$60))</f>
        <v>8.6368351930180882</v>
      </c>
      <c r="C35" s="166">
        <f>B35/2</f>
        <v>4.3184175965090441</v>
      </c>
      <c r="D35" s="232"/>
      <c r="G35" s="15"/>
    </row>
    <row r="36" spans="1:7">
      <c r="A36" s="169" t="s">
        <v>77</v>
      </c>
      <c r="B36" s="166">
        <f>IF((B18*($B$26-($B$27-0.05*$B$27)-$B$60))&lt;0,0,B18*($B$26-($B$27-0.05*$B$27)-$B$60))</f>
        <v>838.56589218718659</v>
      </c>
      <c r="C36" s="166" t="s">
        <v>110</v>
      </c>
      <c r="D36" s="232"/>
      <c r="G36" s="15"/>
    </row>
    <row r="37" spans="1:7">
      <c r="A37" s="169" t="s">
        <v>78</v>
      </c>
      <c r="B37" s="166">
        <f>B60</f>
        <v>19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20993.437883000002</v>
      </c>
      <c r="C5" s="17">
        <f>IF(ISERROR('Eigen informatie GS &amp; warmtenet'!B60),0,'Eigen informatie GS &amp; warmtenet'!B60)</f>
        <v>0</v>
      </c>
      <c r="D5" s="30">
        <f>SUM(D6:D12)</f>
        <v>20681.262668044001</v>
      </c>
      <c r="E5" s="17">
        <f>SUM(E6:E12)</f>
        <v>301.83503941962641</v>
      </c>
      <c r="F5" s="17">
        <f>SUM(F6:F12)</f>
        <v>2234.3850376450282</v>
      </c>
      <c r="G5" s="18"/>
      <c r="H5" s="17"/>
      <c r="I5" s="17"/>
      <c r="J5" s="17">
        <f>SUM(J6:J12)</f>
        <v>2.391136019059939E-2</v>
      </c>
      <c r="K5" s="17"/>
      <c r="L5" s="17"/>
      <c r="M5" s="17"/>
      <c r="N5" s="17">
        <f>SUM(N6:N12)</f>
        <v>968.08440919017312</v>
      </c>
      <c r="O5" s="17">
        <f>B38*B39*B40</f>
        <v>14.691782297523464</v>
      </c>
      <c r="P5" s="17">
        <f>B46*B47*B48/1000-B46*B47*B48/1000/B49</f>
        <v>105.07827661299004</v>
      </c>
      <c r="R5" s="32"/>
    </row>
    <row r="6" spans="1:18">
      <c r="A6" s="32" t="s">
        <v>53</v>
      </c>
      <c r="B6" s="37">
        <f>B26</f>
        <v>3734.6722869999999</v>
      </c>
      <c r="C6" s="33"/>
      <c r="D6" s="37">
        <f>IF(ISERROR(TER_kantoor_gas_kWh/1000),0,TER_kantoor_gas_kWh/1000)*0.902</f>
        <v>2860.5265936279998</v>
      </c>
      <c r="E6" s="33">
        <f>$C$26*'E Balans VL '!I12/100/3.6*1000000</f>
        <v>30.051710463217365</v>
      </c>
      <c r="F6" s="33">
        <f>$C$26*('E Balans VL '!L12+'E Balans VL '!N12)/100/3.6*1000000</f>
        <v>456.60297458039435</v>
      </c>
      <c r="G6" s="34"/>
      <c r="H6" s="33"/>
      <c r="I6" s="33"/>
      <c r="J6" s="33">
        <f>$C$26*('E Balans VL '!D12+'E Balans VL '!E12)/100/3.6*1000000</f>
        <v>0</v>
      </c>
      <c r="K6" s="33"/>
      <c r="L6" s="33"/>
      <c r="M6" s="33"/>
      <c r="N6" s="33">
        <f>$C$26*'E Balans VL '!Y12/100/3.6*1000000</f>
        <v>2.0072024415580647</v>
      </c>
      <c r="O6" s="33"/>
      <c r="P6" s="33"/>
      <c r="R6" s="32"/>
    </row>
    <row r="7" spans="1:18">
      <c r="A7" s="32" t="s">
        <v>52</v>
      </c>
      <c r="B7" s="37">
        <f t="shared" ref="B7:B12" si="0">B27</f>
        <v>1858.0936299999998</v>
      </c>
      <c r="C7" s="33"/>
      <c r="D7" s="37">
        <f>IF(ISERROR(TER_horeca_gas_kWh/1000),0,TER_horeca_gas_kWh/1000)*0.902</f>
        <v>2483.6827286480002</v>
      </c>
      <c r="E7" s="33">
        <f>$C$27*'E Balans VL '!I9/100/3.6*1000000</f>
        <v>19.95136290593021</v>
      </c>
      <c r="F7" s="33">
        <f>$C$27*('E Balans VL '!L9+'E Balans VL '!N9)/100/3.6*1000000</f>
        <v>223.4836073475482</v>
      </c>
      <c r="G7" s="34"/>
      <c r="H7" s="33"/>
      <c r="I7" s="33"/>
      <c r="J7" s="33">
        <f>$C$27*('E Balans VL '!D9+'E Balans VL '!E9)/100/3.6*1000000</f>
        <v>0</v>
      </c>
      <c r="K7" s="33"/>
      <c r="L7" s="33"/>
      <c r="M7" s="33"/>
      <c r="N7" s="33">
        <f>$C$27*'E Balans VL '!Y9/100/3.6*1000000</f>
        <v>0.27856589432270384</v>
      </c>
      <c r="O7" s="33"/>
      <c r="P7" s="33"/>
      <c r="R7" s="32"/>
    </row>
    <row r="8" spans="1:18">
      <c r="A8" s="6" t="s">
        <v>51</v>
      </c>
      <c r="B8" s="37">
        <f t="shared" si="0"/>
        <v>7313.3994849999999</v>
      </c>
      <c r="C8" s="33"/>
      <c r="D8" s="37">
        <f>IF(ISERROR(TER_handel_gas_kWh/1000),0,TER_handel_gas_kWh/1000)*0.902</f>
        <v>5191.4101479460005</v>
      </c>
      <c r="E8" s="33">
        <f>$C$28*'E Balans VL '!I13/100/3.6*1000000</f>
        <v>196.26925242207508</v>
      </c>
      <c r="F8" s="33">
        <f>$C$28*('E Balans VL '!L13+'E Balans VL '!N13)/100/3.6*1000000</f>
        <v>697.92371565313454</v>
      </c>
      <c r="G8" s="34"/>
      <c r="H8" s="33"/>
      <c r="I8" s="33"/>
      <c r="J8" s="33">
        <f>$C$28*('E Balans VL '!D13+'E Balans VL '!E13)/100/3.6*1000000</f>
        <v>0</v>
      </c>
      <c r="K8" s="33"/>
      <c r="L8" s="33"/>
      <c r="M8" s="33"/>
      <c r="N8" s="33">
        <f>$C$28*'E Balans VL '!Y13/100/3.6*1000000</f>
        <v>2.8991147120253187</v>
      </c>
      <c r="O8" s="33"/>
      <c r="P8" s="33"/>
      <c r="R8" s="32"/>
    </row>
    <row r="9" spans="1:18">
      <c r="A9" s="32" t="s">
        <v>50</v>
      </c>
      <c r="B9" s="37">
        <f t="shared" si="0"/>
        <v>3501.8835140000001</v>
      </c>
      <c r="C9" s="33"/>
      <c r="D9" s="37">
        <f>IF(ISERROR(TER_gezond_gas_kWh/1000),0,TER_gezond_gas_kWh/1000)*0.902</f>
        <v>2725.322736004</v>
      </c>
      <c r="E9" s="33">
        <f>$C$29*'E Balans VL '!I10/100/3.6*1000000</f>
        <v>6.5636699680226975</v>
      </c>
      <c r="F9" s="33">
        <f>$C$29*('E Balans VL '!L10+'E Balans VL '!N10)/100/3.6*1000000</f>
        <v>287.88677707584043</v>
      </c>
      <c r="G9" s="34"/>
      <c r="H9" s="33"/>
      <c r="I9" s="33"/>
      <c r="J9" s="33">
        <f>$C$29*('E Balans VL '!D10+'E Balans VL '!E10)/100/3.6*1000000</f>
        <v>0</v>
      </c>
      <c r="K9" s="33"/>
      <c r="L9" s="33"/>
      <c r="M9" s="33"/>
      <c r="N9" s="33">
        <f>$C$29*'E Balans VL '!Y10/100/3.6*1000000</f>
        <v>27.247266519443919</v>
      </c>
      <c r="O9" s="33"/>
      <c r="P9" s="33"/>
      <c r="R9" s="32"/>
    </row>
    <row r="10" spans="1:18">
      <c r="A10" s="32" t="s">
        <v>49</v>
      </c>
      <c r="B10" s="37">
        <f t="shared" si="0"/>
        <v>1018.2272979999999</v>
      </c>
      <c r="C10" s="33"/>
      <c r="D10" s="37">
        <f>IF(ISERROR(TER_ander_gas_kWh/1000),0,TER_ander_gas_kWh/1000)*0.902</f>
        <v>1312.39162175</v>
      </c>
      <c r="E10" s="33">
        <f>$C$30*'E Balans VL '!I14/100/3.6*1000000</f>
        <v>1.5696076974047912</v>
      </c>
      <c r="F10" s="33">
        <f>$C$30*('E Balans VL '!L14+'E Balans VL '!N14)/100/3.6*1000000</f>
        <v>158.08006911159998</v>
      </c>
      <c r="G10" s="34"/>
      <c r="H10" s="33"/>
      <c r="I10" s="33"/>
      <c r="J10" s="33">
        <f>$C$30*('E Balans VL '!D14+'E Balans VL '!E14)/100/3.6*1000000</f>
        <v>1.7285482231310337E-2</v>
      </c>
      <c r="K10" s="33"/>
      <c r="L10" s="33"/>
      <c r="M10" s="33"/>
      <c r="N10" s="33">
        <f>$C$30*'E Balans VL '!Y14/100/3.6*1000000</f>
        <v>673.62654641686163</v>
      </c>
      <c r="O10" s="33"/>
      <c r="P10" s="33"/>
      <c r="R10" s="32"/>
    </row>
    <row r="11" spans="1:18">
      <c r="A11" s="32" t="s">
        <v>54</v>
      </c>
      <c r="B11" s="37">
        <f t="shared" si="0"/>
        <v>109.78578400000001</v>
      </c>
      <c r="C11" s="33"/>
      <c r="D11" s="37">
        <f>IF(ISERROR(TER_onderwijs_gas_kWh/1000),0,TER_onderwijs_gas_kWh/1000)*0.902</f>
        <v>2612.4503553499999</v>
      </c>
      <c r="E11" s="33">
        <f>$C$31*'E Balans VL '!I11/100/3.6*1000000</f>
        <v>2.8002873351002999</v>
      </c>
      <c r="F11" s="33">
        <f>$C$31*('E Balans VL '!L11+'E Balans VL '!N11)/100/3.6*1000000</f>
        <v>13.202773869150089</v>
      </c>
      <c r="G11" s="34"/>
      <c r="H11" s="33"/>
      <c r="I11" s="33"/>
      <c r="J11" s="33">
        <f>$C$31*('E Balans VL '!D11+'E Balans VL '!E11)/100/3.6*1000000</f>
        <v>0</v>
      </c>
      <c r="K11" s="33"/>
      <c r="L11" s="33"/>
      <c r="M11" s="33"/>
      <c r="N11" s="33">
        <f>$C$31*'E Balans VL '!Y11/100/3.6*1000000</f>
        <v>0.24416090481978805</v>
      </c>
      <c r="O11" s="33"/>
      <c r="P11" s="33"/>
      <c r="R11" s="32"/>
    </row>
    <row r="12" spans="1:18">
      <c r="A12" s="32" t="s">
        <v>254</v>
      </c>
      <c r="B12" s="37">
        <f t="shared" si="0"/>
        <v>3457.3758849999999</v>
      </c>
      <c r="C12" s="33"/>
      <c r="D12" s="37">
        <f>IF(ISERROR(TER_rest_gas_kWh/1000),0,TER_rest_gas_kWh/1000)*0.902</f>
        <v>3495.4784847179999</v>
      </c>
      <c r="E12" s="33">
        <f>$C$32*'E Balans VL '!I8/100/3.6*1000000</f>
        <v>44.629148627875978</v>
      </c>
      <c r="F12" s="33">
        <f>$C$32*('E Balans VL '!L8+'E Balans VL '!N8)/100/3.6*1000000</f>
        <v>397.20512000736045</v>
      </c>
      <c r="G12" s="34"/>
      <c r="H12" s="33"/>
      <c r="I12" s="33"/>
      <c r="J12" s="33">
        <f>$C$32*('E Balans VL '!D8+'E Balans VL '!E8)/100/3.6*1000000</f>
        <v>6.6258779592890532E-3</v>
      </c>
      <c r="K12" s="33"/>
      <c r="L12" s="33"/>
      <c r="M12" s="33"/>
      <c r="N12" s="33">
        <f>$C$32*'E Balans VL '!Y8/100/3.6*1000000</f>
        <v>261.78155230114174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20993.437883000002</v>
      </c>
      <c r="C16" s="21">
        <f t="shared" ca="1" si="1"/>
        <v>0</v>
      </c>
      <c r="D16" s="21">
        <f t="shared" ca="1" si="1"/>
        <v>20681.262668044001</v>
      </c>
      <c r="E16" s="21">
        <f t="shared" si="1"/>
        <v>301.83503941962641</v>
      </c>
      <c r="F16" s="21">
        <f t="shared" ca="1" si="1"/>
        <v>2234.3850376450282</v>
      </c>
      <c r="G16" s="21">
        <f t="shared" si="1"/>
        <v>0</v>
      </c>
      <c r="H16" s="21">
        <f t="shared" si="1"/>
        <v>0</v>
      </c>
      <c r="I16" s="21">
        <f t="shared" si="1"/>
        <v>0</v>
      </c>
      <c r="J16" s="21">
        <f t="shared" si="1"/>
        <v>2.391136019059939E-2</v>
      </c>
      <c r="K16" s="21">
        <f t="shared" si="1"/>
        <v>0</v>
      </c>
      <c r="L16" s="21">
        <f t="shared" ca="1" si="1"/>
        <v>0</v>
      </c>
      <c r="M16" s="21">
        <f t="shared" si="1"/>
        <v>0</v>
      </c>
      <c r="N16" s="21">
        <f t="shared" ca="1" si="1"/>
        <v>968.08440919017312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0.19768166129602116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4150.017677026266</v>
      </c>
      <c r="C20" s="23">
        <f t="shared" ref="C20:P20" ca="1" si="2">C16*C18</f>
        <v>0</v>
      </c>
      <c r="D20" s="23">
        <f t="shared" ca="1" si="2"/>
        <v>4177.615058944888</v>
      </c>
      <c r="E20" s="23">
        <f t="shared" si="2"/>
        <v>68.516553948255194</v>
      </c>
      <c r="F20" s="23">
        <f t="shared" ca="1" si="2"/>
        <v>596.58080505122257</v>
      </c>
      <c r="G20" s="23">
        <f t="shared" si="2"/>
        <v>0</v>
      </c>
      <c r="H20" s="23">
        <f t="shared" si="2"/>
        <v>0</v>
      </c>
      <c r="I20" s="23">
        <f t="shared" si="2"/>
        <v>0</v>
      </c>
      <c r="J20" s="23">
        <f t="shared" si="2"/>
        <v>8.4646215074721844E-3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3734.6722869999999</v>
      </c>
      <c r="C26" s="39">
        <f>IF(ISERROR(B26*3.6/1000000/'E Balans VL '!Z12*100),0,B26*3.6/1000000/'E Balans VL '!Z12*100)</f>
        <v>7.9227655735929839E-2</v>
      </c>
      <c r="D26" s="235" t="s">
        <v>698</v>
      </c>
      <c r="F26" s="6"/>
    </row>
    <row r="27" spans="1:18">
      <c r="A27" s="229" t="s">
        <v>52</v>
      </c>
      <c r="B27" s="33">
        <f>IF(ISERROR(TER_horeca_ele_kWh/1000),0,TER_horeca_ele_kWh/1000)</f>
        <v>1858.0936299999998</v>
      </c>
      <c r="C27" s="39">
        <f>IF(ISERROR(B27*3.6/1000000/'E Balans VL '!Z9*100),0,B27*3.6/1000000/'E Balans VL '!Z9*100)</f>
        <v>0.13993091027360596</v>
      </c>
      <c r="D27" s="235" t="s">
        <v>698</v>
      </c>
      <c r="F27" s="6"/>
    </row>
    <row r="28" spans="1:18">
      <c r="A28" s="169" t="s">
        <v>51</v>
      </c>
      <c r="B28" s="33">
        <f>IF(ISERROR(TER_handel_ele_kWh/1000),0,TER_handel_ele_kWh/1000)</f>
        <v>7313.3994849999999</v>
      </c>
      <c r="C28" s="39">
        <f>IF(ISERROR(B28*3.6/1000000/'E Balans VL '!Z13*100),0,B28*3.6/1000000/'E Balans VL '!Z13*100)</f>
        <v>0.21228207365336477</v>
      </c>
      <c r="D28" s="235" t="s">
        <v>698</v>
      </c>
      <c r="F28" s="6"/>
    </row>
    <row r="29" spans="1:18">
      <c r="A29" s="229" t="s">
        <v>50</v>
      </c>
      <c r="B29" s="33">
        <f>IF(ISERROR(TER_gezond_ele_kWh/1000),0,TER_gezond_ele_kWh/1000)</f>
        <v>3501.8835140000001</v>
      </c>
      <c r="C29" s="39">
        <f>IF(ISERROR(B29*3.6/1000000/'E Balans VL '!Z10*100),0,B29*3.6/1000000/'E Balans VL '!Z10*100)</f>
        <v>0.35316912855308197</v>
      </c>
      <c r="D29" s="235" t="s">
        <v>698</v>
      </c>
      <c r="F29" s="6"/>
    </row>
    <row r="30" spans="1:18">
      <c r="A30" s="229" t="s">
        <v>49</v>
      </c>
      <c r="B30" s="33">
        <f>IF(ISERROR(TER_ander_ele_kWh/1000),0,TER_ander_ele_kWh/1000)</f>
        <v>1018.2272979999999</v>
      </c>
      <c r="C30" s="39">
        <f>IF(ISERROR(B30*3.6/1000000/'E Balans VL '!Z14*100),0,B30*3.6/1000000/'E Balans VL '!Z14*100)</f>
        <v>7.3886281637260867E-2</v>
      </c>
      <c r="D30" s="235" t="s">
        <v>698</v>
      </c>
      <c r="F30" s="6"/>
    </row>
    <row r="31" spans="1:18">
      <c r="A31" s="229" t="s">
        <v>54</v>
      </c>
      <c r="B31" s="33">
        <f>IF(ISERROR(TER_onderwijs_ele_kWh/1000),0,TER_onderwijs_ele_kWh/1000)</f>
        <v>109.78578400000001</v>
      </c>
      <c r="C31" s="39">
        <f>IF(ISERROR(B31*3.6/1000000/'E Balans VL '!Z11*100),0,B31*3.6/1000000/'E Balans VL '!Z11*100)</f>
        <v>3.1293419125295797E-2</v>
      </c>
      <c r="D31" s="235" t="s">
        <v>698</v>
      </c>
    </row>
    <row r="32" spans="1:18">
      <c r="A32" s="229" t="s">
        <v>254</v>
      </c>
      <c r="B32" s="33">
        <f>IF(ISERROR(TER_rest_ele_kWh/1000),0,TER_rest_ele_kWh/1000)</f>
        <v>3457.3758849999999</v>
      </c>
      <c r="C32" s="39">
        <f>IF(ISERROR(B32*3.6/1000000/'E Balans VL '!Z8*100),0,B32*3.6/1000000/'E Balans VL '!Z8*100)</f>
        <v>2.8322119015422972E-2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16232.609047999998</v>
      </c>
      <c r="C5" s="17">
        <f>IF(ISERROR('Eigen informatie GS &amp; warmtenet'!B61),0,'Eigen informatie GS &amp; warmtenet'!B61)</f>
        <v>0</v>
      </c>
      <c r="D5" s="30">
        <f>SUM(D6:D15)</f>
        <v>21246.459936966003</v>
      </c>
      <c r="E5" s="17">
        <f>SUM(E6:E15)</f>
        <v>954.83309258270288</v>
      </c>
      <c r="F5" s="17">
        <f>SUM(F6:F15)</f>
        <v>3489.2808174648221</v>
      </c>
      <c r="G5" s="18"/>
      <c r="H5" s="17"/>
      <c r="I5" s="17"/>
      <c r="J5" s="17">
        <f>SUM(J6:J15)</f>
        <v>103.49261685602475</v>
      </c>
      <c r="K5" s="17"/>
      <c r="L5" s="17"/>
      <c r="M5" s="17"/>
      <c r="N5" s="17">
        <f>SUM(N6:N15)</f>
        <v>638.35471437661329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2143.1682940000001</v>
      </c>
      <c r="C8" s="33"/>
      <c r="D8" s="37">
        <f>IF( ISERROR(IND_metaal_Gas_kWH/1000),0,IND_metaal_Gas_kWH/1000)*0.902</f>
        <v>215.47843002400001</v>
      </c>
      <c r="E8" s="33">
        <f>C30*'E Balans VL '!I18/100/3.6*1000000</f>
        <v>15.461455025117893</v>
      </c>
      <c r="F8" s="33">
        <f>C30*'E Balans VL '!L18/100/3.6*1000000+C30*'E Balans VL '!N18/100/3.6*1000000</f>
        <v>202.70420335725078</v>
      </c>
      <c r="G8" s="34"/>
      <c r="H8" s="33"/>
      <c r="I8" s="33"/>
      <c r="J8" s="40">
        <f>C30*'E Balans VL '!D18/100/3.6*1000000+C30*'E Balans VL '!E18/100/3.6*1000000</f>
        <v>2.1556111244807545</v>
      </c>
      <c r="K8" s="33"/>
      <c r="L8" s="33"/>
      <c r="M8" s="33"/>
      <c r="N8" s="33">
        <f>C30*'E Balans VL '!Y18/100/3.6*1000000</f>
        <v>27.095317499660929</v>
      </c>
      <c r="O8" s="33"/>
      <c r="P8" s="33"/>
      <c r="R8" s="32"/>
    </row>
    <row r="9" spans="1:18">
      <c r="A9" s="6" t="s">
        <v>32</v>
      </c>
      <c r="B9" s="37">
        <f t="shared" si="0"/>
        <v>1289.611506</v>
      </c>
      <c r="C9" s="33"/>
      <c r="D9" s="37">
        <f>IF( ISERROR(IND_andere_gas_kWh/1000),0,IND_andere_gas_kWh/1000)*0.902</f>
        <v>2224.8634448700004</v>
      </c>
      <c r="E9" s="33">
        <f>C31*'E Balans VL '!I19/100/3.6*1000000</f>
        <v>357.36859257883532</v>
      </c>
      <c r="F9" s="33">
        <f>C31*'E Balans VL '!L19/100/3.6*1000000+C31*'E Balans VL '!N19/100/3.6*1000000</f>
        <v>1068.8328030447428</v>
      </c>
      <c r="G9" s="34"/>
      <c r="H9" s="33"/>
      <c r="I9" s="33"/>
      <c r="J9" s="40">
        <f>C31*'E Balans VL '!D19/100/3.6*1000000+C31*'E Balans VL '!E19/100/3.6*1000000</f>
        <v>0</v>
      </c>
      <c r="K9" s="33"/>
      <c r="L9" s="33"/>
      <c r="M9" s="33"/>
      <c r="N9" s="33">
        <f>C31*'E Balans VL '!Y19/100/3.6*1000000</f>
        <v>93.610021679252981</v>
      </c>
      <c r="O9" s="33"/>
      <c r="P9" s="33"/>
      <c r="R9" s="32"/>
    </row>
    <row r="10" spans="1:18">
      <c r="A10" s="6" t="s">
        <v>40</v>
      </c>
      <c r="B10" s="37">
        <f t="shared" si="0"/>
        <v>431.854626</v>
      </c>
      <c r="C10" s="33"/>
      <c r="D10" s="37">
        <f>IF( ISERROR(IND_voed_gas_kWh/1000),0,IND_voed_gas_kWh/1000)*0.902</f>
        <v>313.69615829200001</v>
      </c>
      <c r="E10" s="33">
        <f>C32*'E Balans VL '!I20/100/3.6*1000000</f>
        <v>0.76452896656016212</v>
      </c>
      <c r="F10" s="33">
        <f>C32*'E Balans VL '!L20/100/3.6*1000000+C32*'E Balans VL '!N20/100/3.6*1000000</f>
        <v>23.323977297217059</v>
      </c>
      <c r="G10" s="34"/>
      <c r="H10" s="33"/>
      <c r="I10" s="33"/>
      <c r="J10" s="40">
        <f>C32*'E Balans VL '!D20/100/3.6*1000000+C32*'E Balans VL '!E20/100/3.6*1000000</f>
        <v>0</v>
      </c>
      <c r="K10" s="33"/>
      <c r="L10" s="33"/>
      <c r="M10" s="33"/>
      <c r="N10" s="33">
        <f>C32*'E Balans VL '!Y20/100/3.6*1000000</f>
        <v>25.094051885476198</v>
      </c>
      <c r="O10" s="33"/>
      <c r="P10" s="33"/>
      <c r="R10" s="32"/>
    </row>
    <row r="11" spans="1:18">
      <c r="A11" s="6" t="s">
        <v>39</v>
      </c>
      <c r="B11" s="37">
        <f t="shared" si="0"/>
        <v>72.789054000000007</v>
      </c>
      <c r="C11" s="33"/>
      <c r="D11" s="37">
        <f>IF( ISERROR(IND_textiel_gas_kWh/1000),0,IND_textiel_gas_kWh/1000)*0.902</f>
        <v>0</v>
      </c>
      <c r="E11" s="33">
        <f>C33*'E Balans VL '!I21/100/3.6*1000000</f>
        <v>0.25658897048768331</v>
      </c>
      <c r="F11" s="33">
        <f>C33*'E Balans VL '!L21/100/3.6*1000000+C33*'E Balans VL '!N21/100/3.6*1000000</f>
        <v>2.1364675808373819</v>
      </c>
      <c r="G11" s="34"/>
      <c r="H11" s="33"/>
      <c r="I11" s="33"/>
      <c r="J11" s="40">
        <f>C33*'E Balans VL '!D21/100/3.6*1000000+C33*'E Balans VL '!E21/100/3.6*1000000</f>
        <v>0</v>
      </c>
      <c r="K11" s="33"/>
      <c r="L11" s="33"/>
      <c r="M11" s="33"/>
      <c r="N11" s="33">
        <f>C33*'E Balans VL '!Y21/100/3.6*1000000</f>
        <v>3.2070752997579475</v>
      </c>
      <c r="O11" s="33"/>
      <c r="P11" s="33"/>
      <c r="R11" s="32"/>
    </row>
    <row r="12" spans="1:18">
      <c r="A12" s="6" t="s">
        <v>36</v>
      </c>
      <c r="B12" s="37">
        <f t="shared" si="0"/>
        <v>29.675777999999998</v>
      </c>
      <c r="C12" s="33"/>
      <c r="D12" s="37">
        <f>IF( ISERROR(IND_min_gas_kWh/1000),0,IND_min_gas_kWh/1000)*0.902</f>
        <v>0</v>
      </c>
      <c r="E12" s="33">
        <f>C34*'E Balans VL '!I22/100/3.6*1000000</f>
        <v>1.3068154086113295</v>
      </c>
      <c r="F12" s="33">
        <f>C34*'E Balans VL '!L22/100/3.6*1000000+C34*'E Balans VL '!N22/100/3.6*1000000</f>
        <v>11.604427670900543</v>
      </c>
      <c r="G12" s="34"/>
      <c r="H12" s="33"/>
      <c r="I12" s="33"/>
      <c r="J12" s="40">
        <f>C34*'E Balans VL '!D22/100/3.6*1000000+C34*'E Balans VL '!E22/100/3.6*1000000</f>
        <v>9.0106207580891353E-3</v>
      </c>
      <c r="K12" s="33"/>
      <c r="L12" s="33"/>
      <c r="M12" s="33"/>
      <c r="N12" s="33">
        <f>C34*'E Balans VL '!Y22/100/3.6*1000000</f>
        <v>7.3408881503739023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12265.509789999998</v>
      </c>
      <c r="C15" s="33"/>
      <c r="D15" s="37">
        <f>IF( ISERROR(IND_rest_gas_kWh/1000),0,IND_rest_gas_kWh/1000)*0.902</f>
        <v>18492.421903780003</v>
      </c>
      <c r="E15" s="33">
        <f>C37*'E Balans VL '!I15/100/3.6*1000000</f>
        <v>579.67511163309052</v>
      </c>
      <c r="F15" s="33">
        <f>C37*'E Balans VL '!L15/100/3.6*1000000+C37*'E Balans VL '!N15/100/3.6*1000000</f>
        <v>2180.6789385138736</v>
      </c>
      <c r="G15" s="34"/>
      <c r="H15" s="33"/>
      <c r="I15" s="33"/>
      <c r="J15" s="40">
        <f>C37*'E Balans VL '!D15/100/3.6*1000000+C37*'E Balans VL '!E15/100/3.6*1000000</f>
        <v>101.32799511078591</v>
      </c>
      <c r="K15" s="33"/>
      <c r="L15" s="33"/>
      <c r="M15" s="33"/>
      <c r="N15" s="33">
        <f>C37*'E Balans VL '!Y15/100/3.6*1000000</f>
        <v>482.00735986209133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16232.609047999998</v>
      </c>
      <c r="C18" s="21">
        <f>C5+C16</f>
        <v>0</v>
      </c>
      <c r="D18" s="21">
        <f>MAX((D5+D16),0)</f>
        <v>21246.459936966003</v>
      </c>
      <c r="E18" s="21">
        <f>MAX((E5+E16),0)</f>
        <v>954.83309258270288</v>
      </c>
      <c r="F18" s="21">
        <f>MAX((F5+F16),0)</f>
        <v>3489.2808174648221</v>
      </c>
      <c r="G18" s="21"/>
      <c r="H18" s="21"/>
      <c r="I18" s="21"/>
      <c r="J18" s="21">
        <f>MAX((J5+J16),0)</f>
        <v>103.49261685602475</v>
      </c>
      <c r="K18" s="21"/>
      <c r="L18" s="21">
        <f>MAX((L5+L16),0)</f>
        <v>0</v>
      </c>
      <c r="M18" s="21"/>
      <c r="N18" s="21">
        <f>MAX((N5+N16),0)</f>
        <v>638.35471437661329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0.19768166129602116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3208.8891237774642</v>
      </c>
      <c r="C22" s="23">
        <f ca="1">C18*C20</f>
        <v>0</v>
      </c>
      <c r="D22" s="23">
        <f>D18*D20</f>
        <v>4291.7849072671324</v>
      </c>
      <c r="E22" s="23">
        <f>E18*E20</f>
        <v>216.74711201627355</v>
      </c>
      <c r="F22" s="23">
        <f>F18*F20</f>
        <v>931.63797826310758</v>
      </c>
      <c r="G22" s="23"/>
      <c r="H22" s="23"/>
      <c r="I22" s="23"/>
      <c r="J22" s="23">
        <f>J18*J20</f>
        <v>36.636386367032763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2143.1682940000001</v>
      </c>
      <c r="C30" s="39">
        <f>IF(ISERROR(B30*3.6/1000000/'E Balans VL '!Z18*100),0,B30*3.6/1000000/'E Balans VL '!Z18*100)</f>
        <v>0.12372176152497076</v>
      </c>
      <c r="D30" s="235" t="s">
        <v>698</v>
      </c>
    </row>
    <row r="31" spans="1:18">
      <c r="A31" s="6" t="s">
        <v>32</v>
      </c>
      <c r="B31" s="37">
        <f>IF( ISERROR(IND_ander_ele_kWh/1000),0,IND_ander_ele_kWh/1000)</f>
        <v>1289.611506</v>
      </c>
      <c r="C31" s="39">
        <f>IF(ISERROR(B31*3.6/1000000/'E Balans VL '!Z19*100),0,B31*3.6/1000000/'E Balans VL '!Z19*100)</f>
        <v>6.4863278637961388E-2</v>
      </c>
      <c r="D31" s="235" t="s">
        <v>698</v>
      </c>
    </row>
    <row r="32" spans="1:18">
      <c r="A32" s="169" t="s">
        <v>40</v>
      </c>
      <c r="B32" s="37">
        <f>IF( ISERROR(IND_voed_ele_kWh/1000),0,IND_voed_ele_kWh/1000)</f>
        <v>431.854626</v>
      </c>
      <c r="C32" s="39">
        <f>IF(ISERROR(B32*3.6/1000000/'E Balans VL '!Z20*100),0,B32*3.6/1000000/'E Balans VL '!Z20*100)</f>
        <v>1.4383323505706E-2</v>
      </c>
      <c r="D32" s="235" t="s">
        <v>698</v>
      </c>
    </row>
    <row r="33" spans="1:5">
      <c r="A33" s="169" t="s">
        <v>39</v>
      </c>
      <c r="B33" s="37">
        <f>IF( ISERROR(IND_textiel_ele_kWh/1000),0,IND_textiel_ele_kWh/1000)</f>
        <v>72.789054000000007</v>
      </c>
      <c r="C33" s="39">
        <f>IF(ISERROR(B33*3.6/1000000/'E Balans VL '!Z21*100),0,B33*3.6/1000000/'E Balans VL '!Z21*100)</f>
        <v>1.1348739936300553E-2</v>
      </c>
      <c r="D33" s="235" t="s">
        <v>698</v>
      </c>
    </row>
    <row r="34" spans="1:5">
      <c r="A34" s="169" t="s">
        <v>36</v>
      </c>
      <c r="B34" s="37">
        <f>IF( ISERROR(IND_min_ele_kWh/1000),0,IND_min_ele_kWh/1000)</f>
        <v>29.675777999999998</v>
      </c>
      <c r="C34" s="39">
        <f>IF(ISERROR(B34*3.6/1000000/'E Balans VL '!Z22*100),0,B34*3.6/1000000/'E Balans VL '!Z22*100)</f>
        <v>5.5355349367097566E-3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12265.509789999998</v>
      </c>
      <c r="C37" s="39">
        <f>IF(ISERROR(B37*3.6/1000000/'E Balans VL '!Z15*100),0,B37*3.6/1000000/'E Balans VL '!Z15*100)</f>
        <v>9.5704518007671116E-2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201.786371</v>
      </c>
      <c r="C5" s="17">
        <f>'Eigen informatie GS &amp; warmtenet'!B62</f>
        <v>0</v>
      </c>
      <c r="D5" s="30">
        <f>IF(ISERROR(SUM(LB_lb_gas_kWh,LB_rest_gas_kWh)/1000),0,SUM(LB_lb_gas_kWh,LB_rest_gas_kWh)/1000)*0.902</f>
        <v>48.510623457999998</v>
      </c>
      <c r="E5" s="17">
        <f>B17*'E Balans VL '!I25/3.6*1000000/100</f>
        <v>6.297686097973858</v>
      </c>
      <c r="F5" s="17">
        <f>B17*('E Balans VL '!L25/3.6*1000000+'E Balans VL '!N25/3.6*1000000)/100</f>
        <v>713.13538840517708</v>
      </c>
      <c r="G5" s="18"/>
      <c r="H5" s="17"/>
      <c r="I5" s="17"/>
      <c r="J5" s="17">
        <f>('E Balans VL '!D25+'E Balans VL '!E25)/3.6*1000000*landbouw!B17/100</f>
        <v>55.593544586718835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201.786371</v>
      </c>
      <c r="C8" s="21">
        <f>C5+C6</f>
        <v>0</v>
      </c>
      <c r="D8" s="21">
        <f>MAX((D5+D6),0)</f>
        <v>48.510623457999998</v>
      </c>
      <c r="E8" s="21">
        <f>MAX((E5+E6),0)</f>
        <v>6.297686097973858</v>
      </c>
      <c r="F8" s="21">
        <f>MAX((F5+F6),0)</f>
        <v>713.13538840517708</v>
      </c>
      <c r="G8" s="21"/>
      <c r="H8" s="21"/>
      <c r="I8" s="21"/>
      <c r="J8" s="21">
        <f>MAX((J5+J6),0)</f>
        <v>55.593544586718835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0.19768166129602116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39.889465046175268</v>
      </c>
      <c r="C12" s="23">
        <f ca="1">C8*C10</f>
        <v>0</v>
      </c>
      <c r="D12" s="23">
        <f>D8*D10</f>
        <v>9.7991459385160002</v>
      </c>
      <c r="E12" s="23">
        <f>E8*E10</f>
        <v>1.4295747442400659</v>
      </c>
      <c r="F12" s="23">
        <f>F8*F10</f>
        <v>190.4071487041823</v>
      </c>
      <c r="G12" s="23"/>
      <c r="H12" s="23"/>
      <c r="I12" s="23"/>
      <c r="J12" s="23">
        <f>J8*J10</f>
        <v>19.680114783698468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2.9996990590876908E-2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36.140934716601009</v>
      </c>
      <c r="C26" s="245">
        <f>B26*'GWP N2O_CH4'!B5</f>
        <v>758.9596290486212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4.8453857252868842</v>
      </c>
      <c r="C27" s="245">
        <f>B27*'GWP N2O_CH4'!B5</f>
        <v>101.75310023102456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0.59316511790577964</v>
      </c>
      <c r="C28" s="245">
        <f>B28*'GWP N2O_CH4'!B4</f>
        <v>183.88118655079168</v>
      </c>
      <c r="D28" s="50"/>
    </row>
    <row r="29" spans="1:4">
      <c r="A29" s="41" t="s">
        <v>271</v>
      </c>
      <c r="B29" s="245">
        <f>B34*'ha_N2O bodem landbouw'!B4</f>
        <v>1.9236045237651307</v>
      </c>
      <c r="C29" s="245">
        <f>B29*'GWP N2O_CH4'!B4</f>
        <v>596.31740236719054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4.218118383409756E-4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1.553009701625086E-4</v>
      </c>
      <c r="C5" s="433" t="s">
        <v>210</v>
      </c>
      <c r="D5" s="418">
        <f>SUM(D6:D11)</f>
        <v>2.9086565101787677E-4</v>
      </c>
      <c r="E5" s="418">
        <f>SUM(E6:E11)</f>
        <v>2.4969546148515963E-4</v>
      </c>
      <c r="F5" s="431" t="s">
        <v>210</v>
      </c>
      <c r="G5" s="418">
        <f>SUM(G6:G11)</f>
        <v>0.11792155500143545</v>
      </c>
      <c r="H5" s="418">
        <f>SUM(H6:H11)</f>
        <v>2.5764058992421995E-2</v>
      </c>
      <c r="I5" s="433" t="s">
        <v>210</v>
      </c>
      <c r="J5" s="433" t="s">
        <v>210</v>
      </c>
      <c r="K5" s="433" t="s">
        <v>210</v>
      </c>
      <c r="L5" s="433" t="s">
        <v>210</v>
      </c>
      <c r="M5" s="418">
        <f>SUM(M6:M11)</f>
        <v>8.5030539661877548E-3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8.9022875631116689E-5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1.5027927025411931E-4</v>
      </c>
      <c r="E6" s="884">
        <f>vkm_GW_PW*SUMIFS(TableVerdeelsleutelVkm[LPG],TableVerdeelsleutelVkm[Voertuigtype],"Lichte voertuigen")*SUMIFS(TableECFTransport[EnergieConsumptieFactor (PJ per km)],TableECFTransport[Index],CONCATENATE($A6,"_LPG_LPG"))</f>
        <v>1.3168558138329625E-4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4.1136018064236071E-2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1.3404936369779975E-2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3.2587044121375796E-3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8.318047179204421E-7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3.1747659997340416E-2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4.4130265141786676E-7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1.830010678812589E-3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6.5222538141598022E-5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1.4058638076375746E-4</v>
      </c>
      <c r="E8" s="421">
        <f>vkm_NGW_PW*SUMIFS(TableVerdeelsleutelVkm[LPG],TableVerdeelsleutelVkm[Voertuigtype],"Lichte voertuigen")*SUMIFS(TableECFTransport[EnergieConsumptieFactor (PJ per km)],TableECFTransport[Index],CONCATENATE($A8,"_LPG_LPG"))</f>
        <v>1.1800988010186335E-4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3.4059078173702378E-2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1.2358538035926033E-2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2.7814954032145127E-3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2.2375167187346204E-7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1.0978798766156582E-2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1.4328406456893638E-7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6.3284347202307439E-4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43.139158378474612</v>
      </c>
      <c r="C14" s="21"/>
      <c r="D14" s="21">
        <f t="shared" ref="D14:M14" si="0">((D5)*10^9/3600)+D12</f>
        <v>80.796014171632436</v>
      </c>
      <c r="E14" s="21">
        <f t="shared" si="0"/>
        <v>69.359850412544347</v>
      </c>
      <c r="F14" s="21"/>
      <c r="G14" s="21">
        <f t="shared" si="0"/>
        <v>32755.987500398733</v>
      </c>
      <c r="H14" s="21">
        <f t="shared" si="0"/>
        <v>7156.6830534505543</v>
      </c>
      <c r="I14" s="21"/>
      <c r="J14" s="21"/>
      <c r="K14" s="21"/>
      <c r="L14" s="21"/>
      <c r="M14" s="21">
        <f t="shared" si="0"/>
        <v>2361.9594350521543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0.19768166129602116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8.5278204951690313</v>
      </c>
      <c r="C18" s="23"/>
      <c r="D18" s="23">
        <f t="shared" ref="D18:M18" si="1">D14*D16</f>
        <v>16.320794862669754</v>
      </c>
      <c r="E18" s="23">
        <f t="shared" si="1"/>
        <v>15.744686043647567</v>
      </c>
      <c r="F18" s="23"/>
      <c r="G18" s="23">
        <f t="shared" si="1"/>
        <v>8745.8486626064623</v>
      </c>
      <c r="H18" s="23">
        <f t="shared" si="1"/>
        <v>1782.0140803091881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4.7786802508473763E-5</v>
      </c>
      <c r="C50" s="315">
        <f t="shared" ref="C50:P50" si="2">SUM(C51:C52)</f>
        <v>0</v>
      </c>
      <c r="D50" s="315">
        <f t="shared" si="2"/>
        <v>0</v>
      </c>
      <c r="E50" s="315">
        <f t="shared" si="2"/>
        <v>0</v>
      </c>
      <c r="F50" s="315">
        <f t="shared" si="2"/>
        <v>0</v>
      </c>
      <c r="G50" s="315">
        <f t="shared" si="2"/>
        <v>3.4622258147451093E-3</v>
      </c>
      <c r="H50" s="315">
        <f t="shared" si="2"/>
        <v>0</v>
      </c>
      <c r="I50" s="315">
        <f t="shared" si="2"/>
        <v>0</v>
      </c>
      <c r="J50" s="315">
        <f t="shared" si="2"/>
        <v>0</v>
      </c>
      <c r="K50" s="315">
        <f t="shared" si="2"/>
        <v>0</v>
      </c>
      <c r="L50" s="315">
        <f t="shared" si="2"/>
        <v>0</v>
      </c>
      <c r="M50" s="315">
        <f t="shared" si="2"/>
        <v>1.9583380259408564E-4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4.7786802508473763E-5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3.4622258147451093E-3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1.9583380259408564E-4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13.274111807909378</v>
      </c>
      <c r="C54" s="21">
        <f t="shared" ref="C54:P54" si="3">(C50)*10^9/3600</f>
        <v>0</v>
      </c>
      <c r="D54" s="21">
        <f t="shared" si="3"/>
        <v>0</v>
      </c>
      <c r="E54" s="21">
        <f t="shared" si="3"/>
        <v>0</v>
      </c>
      <c r="F54" s="21">
        <f t="shared" si="3"/>
        <v>0</v>
      </c>
      <c r="G54" s="21">
        <f t="shared" si="3"/>
        <v>961.72939298475251</v>
      </c>
      <c r="H54" s="21">
        <f t="shared" si="3"/>
        <v>0</v>
      </c>
      <c r="I54" s="21">
        <f t="shared" si="3"/>
        <v>0</v>
      </c>
      <c r="J54" s="21">
        <f t="shared" si="3"/>
        <v>0</v>
      </c>
      <c r="K54" s="21">
        <f t="shared" si="3"/>
        <v>0</v>
      </c>
      <c r="L54" s="21">
        <f t="shared" si="3"/>
        <v>0</v>
      </c>
      <c r="M54" s="21">
        <f t="shared" si="3"/>
        <v>54.398278498357122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0.19768166129602116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2.6240484744166568</v>
      </c>
      <c r="C58" s="23">
        <f t="shared" ref="C58:P58" ca="1" si="4">C54*C56</f>
        <v>0</v>
      </c>
      <c r="D58" s="23">
        <f t="shared" si="4"/>
        <v>0</v>
      </c>
      <c r="E58" s="23">
        <f t="shared" si="4"/>
        <v>0</v>
      </c>
      <c r="F58" s="23">
        <f t="shared" si="4"/>
        <v>0</v>
      </c>
      <c r="G58" s="23">
        <f t="shared" si="4"/>
        <v>256.78174792692892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6171.0452668062626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6171.0452668062626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2021-06-29T14:45:32Z</dcterms:modified>
</cp:coreProperties>
</file>