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2" i="59"/>
  <c r="C29" i="20"/>
  <c r="C17" i="19"/>
  <c r="C19" i="19" s="1"/>
  <c r="D39" i="14" s="1"/>
  <c r="C56" i="22"/>
  <c r="C58" i="22" s="1"/>
  <c r="D49" i="14" s="1"/>
  <c r="D52" i="14" s="1"/>
  <c r="C20" i="16"/>
  <c r="C22" i="16" s="1"/>
  <c r="D43" i="14" s="1"/>
  <c r="C10" i="17"/>
  <c r="C12" i="17" s="1"/>
  <c r="D54" i="14" s="1"/>
  <c r="D56" i="14" s="1"/>
  <c r="C17" i="4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<sst xmlns="http://schemas.openxmlformats.org/spreadsheetml/2006/main" count="2502" uniqueCount="915">
  <si>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</si>
  <si>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</si>
  <si>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</si>
  <si>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</si>
  <si>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</si>
  <si>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</si>
  <si>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</si>
  <si>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</si>
  <si>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</si>
  <si>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</si>
  <si>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</si>
  <si>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</si>
  <si>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</si>
  <si>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</si>
  <si>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</si>
  <si>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</si>
  <si>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</si>
  <si>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</si>
  <si>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</si>
  <si>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</si>
  <si>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</si>
  <si>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</si>
  <si>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</si>
  <si>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</si>
  <si>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</si>
  <si>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</si>
  <si>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</si>
  <si>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</si>
  <si>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</si>
  <si>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</si>
  <si>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</si>
  <si>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</si>
  <si>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</si>
  <si>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</si>
  <si>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</si>
  <si>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</si>
  <si>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</si>
  <si>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</si>
  <si>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</si>
  <si>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</si>
  <si>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</si>
  <si>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</si>
  <si>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</si>
  <si>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</si>
  <si>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</si>
  <si>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</si>
  <si>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</si>
  <si>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</si>
  <si>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</si>
  <si>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</si>
  <si>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</si>
  <si>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</si>
  <si>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</si>
  <si>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</si>
  <si>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</si>
  <si>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</si>
  <si>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</si>
  <si>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</si>
  <si>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</si>
  <si>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</si>
  <si>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</si>
  <si>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</si>
  <si>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</si>
  <si>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</si>
  <si>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</si>
  <si>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</si>
  <si>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</si>
  <si>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</si>
  <si>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</si>
  <si>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</si>
  <si>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</si>
  <si>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</si>
  <si>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</si>
  <si>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</si>
  <si>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</si>
  <si>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</si>
  <si>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</si>
  <si>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</si>
  <si>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</si>
  <si>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</si>
  <si>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</si>
  <si>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</si>
  <si>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</si>
  <si>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</si>
  <si>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</si>
  <si>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</si>
  <si>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</si>
  <si>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</si>
  <si>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</si>
  <si>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</si>
  <si>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</si>
  <si>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</si>
  <si>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</si>
  <si>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</si>
  <si>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</si>
  <si>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</si>
  <si>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</si>
  <si>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</si>
  <si>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</si>
  <si>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</si>
  <si>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</si>
  <si>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</si>
  <si>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</si>
  <si>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</si>
  <si>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</si>
  <si>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</si>
  <si>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</si>
  <si>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</si>
  <si>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</si>
  <si>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</si>
  <si>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</si>
  <si>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</si>
  <si>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</si>
  <si>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</si>
  <si>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</si>
  <si>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</si>
  <si>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</si>
  <si>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</si>
  <si>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</si>
  <si>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</si>
  <si>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</si>
  <si>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</si>
  <si>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</si>
  <si>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</si>
  <si>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</si>
  <si>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</si>
  <si>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</si>
  <si>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</si>
  <si>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</si>
  <si>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</si>
  <si>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</si>
  <si>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</si>
  <si>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</si>
  <si>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</si>
  <si>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</si>
  <si>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</si>
  <si>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</si>
  <si>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</si>
  <si>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</si>
  <si>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</si>
  <si>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</si>
  <si>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</si>
  <si>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</si>
  <si>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</si>
  <si>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</si>
  <si>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</si>
  <si>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</si>
  <si>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</si>
  <si>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</si>
  <si>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</si>
  <si>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</si>
  <si>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</si>
  <si>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</si>
  <si>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</si>
  <si>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</si>
  <si>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</si>
  <si>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</si>
  <si>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</si>
  <si>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</si>
  <si>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</si>
  <si>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</si>
  <si>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</si>
  <si>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</si>
  <si>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</si>
  <si>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</si>
  <si>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</si>
  <si>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</si>
  <si>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</si>
  <si>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</si>
  <si>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</si>
  <si>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</si>
  <si>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</si>
  <si>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</si>
  <si>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</si>
  <si>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</si>
  <si>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</si>
  <si>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</si>
  <si>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</si>
  <si>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</si>
  <si>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</si>
  <si>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</si>
  <si>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</si>
  <si>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</si>
  <si>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</si>
  <si>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</si>
  <si>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</si>
  <si>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</si>
  <si>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</si>
  <si>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</si>
  <si>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</si>
  <si>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</si>
  <si>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</si>
  <si>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</si>
  <si>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</si>
  <si>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</si>
  <si>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</si>
  <si>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</si>
  <si>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</si>
  <si>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</si>
  <si>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</si>
  <si>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</si>
  <si>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</si>
  <si>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</si>
  <si>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</si>
  <si>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</si>
  <si>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</si>
  <si>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</si>
  <si>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</si>
  <si>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</si>
  <si>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</si>
  <si>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</si>
  <si>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</si>
  <si>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</si>
  <si>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</si>
  <si>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</si>
  <si>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</si>
  <si>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</si>
  <si>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</si>
  <si>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</si>
  <si>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</si>
  <si>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</si>
  <si>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</si>
  <si>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</si>
  <si>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</si>
  <si>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</si>
  <si>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</si>
  <si>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</si>
  <si>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</si>
  <si>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</si>
  <si>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</si>
  <si>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</si>
  <si>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</si>
  <si>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</si>
  <si>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</si>
  <si>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</si>
  <si>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</si>
  <si>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</si>
  <si>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</si>
  <si>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</si>
  <si>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</si>
  <si>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</si>
  <si>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</si>
  <si>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</si>
  <si>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</si>
  <si>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</si>
  <si>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</si>
  <si>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</si>
  <si>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</si>
  <si>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</si>
  <si>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</si>
  <si>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</si>
  <si>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</si>
  <si>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</si>
  <si>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</si>
  <si>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</si>
  <si>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</si>
  <si>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</si>
  <si>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</si>
  <si>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</si>
  <si>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</si>
  <si>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</si>
  <si>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</si>
  <si>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</si>
  <si>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</si>
  <si>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</si>
  <si>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</si>
  <si>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</si>
  <si>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</si>
  <si>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</si>
  <si>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</si>
  <si>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</si>
  <si>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</si>
  <si>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</si>
  <si>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</si>
  <si>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</si>
  <si>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</si>
  <si>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</si>
  <si>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</si>
  <si>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</si>
  <si>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</si>
  <si>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</si>
  <si>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</si>
  <si>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</si>
  <si>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</si>
  <si>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</si>
  <si>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</si>
  <si>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</si>
  <si>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</si>
  <si>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</si>
  <si>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</si>
  <si>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</si>
  <si>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</si>
  <si>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</si>
  <si>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</si>
  <si>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</si>
  <si>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</si>
  <si>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</si>
  <si>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</si>
  <si>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</si>
  <si>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</si>
  <si>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</si>
  <si>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</si>
  <si>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</si>
  <si>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</si>
  <si>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</si>
  <si>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</si>
  <si>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</si>
  <si>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</si>
  <si>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</si>
  <si>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</si>
  <si>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</si>
  <si>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</si>
  <si>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</si>
  <si>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</si>
  <si>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</si>
  <si>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</si>
  <si>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</si>
  <si>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</si>
  <si>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</si>
  <si>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</si>
  <si>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</si>
  <si>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</si>
  <si>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</si>
  <si>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</si>
  <si>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</si>
  <si>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</si>
  <si>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</si>
  <si>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</si>
  <si>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</si>
  <si>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</si>
  <si>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</si>
  <si>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</si>
  <si>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</si>
  <si>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</si>
  <si>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</si>
  <si>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</si>
  <si>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</si>
  <si>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</si>
  <si>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</si>
  <si>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</si>
  <si>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</si>
  <si>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</si>
  <si>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</si>
  <si>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</si>
  <si>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</si>
  <si>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</si>
  <si>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</si>
  <si>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</si>
  <si>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</si>
  <si>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</si>
  <si>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</si>
  <si>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</si>
  <si>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</si>
  <si>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</si>
  <si>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</si>
  <si>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</si>
  <si>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</si>
  <si>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</si>
  <si>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</si>
  <si>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</si>
  <si>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</si>
  <si>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</si>
  <si>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</si>
  <si>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</si>
  <si>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</si>
  <si>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</si>
  <si>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</si>
  <si>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</si>
  <si>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</si>
  <si>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</si>
  <si>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</si>
  <si>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</si>
  <si>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</si>
  <si>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</si>
  <si>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</si>
  <si>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</si>
  <si>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</si>
  <si>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</si>
  <si>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</si>
  <si>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</si>
  <si>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</si>
  <si>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</si>
  <si>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</si>
  <si>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</si>
  <si>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</si>
  <si>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</si>
  <si>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</si>
  <si>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</si>
  <si>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</si>
  <si>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</si>
  <si>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</si>
  <si>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</si>
  <si>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</si>
  <si>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</si>
  <si>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</si>
  <si>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</si>
  <si>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</si>
  <si>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</si>
  <si>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</si>
  <si>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</si>
  <si>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</si>
  <si>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</si>
  <si>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</si>
  <si>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</si>
  <si>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</si>
  <si>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</si>
  <si>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</si>
  <si>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</si>
  <si>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</si>
  <si>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</si>
  <si>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</si>
  <si>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</si>
  <si>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</si>
  <si>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</si>
  <si>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</si>
  <si>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</si>
  <si>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</si>
  <si>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</si>
  <si>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</si>
  <si>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</si>
  <si>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</si>
  <si>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</si>
  <si>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</si>
  <si>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</si>
  <si>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</si>
  <si>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</si>
  <si>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</si>
  <si>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</si>
  <si>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</si>
  <si>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</si>
  <si>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</si>
  <si>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</si>
  <si>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</si>
  <si>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</si>
  <si>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</si>
  <si>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</si>
  <si>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</si>
  <si>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</si>
  <si>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</si>
  <si>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</si>
  <si>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</si>
  <si>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</si>
  <si>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</si>
  <si>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</si>
  <si>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</si>
  <si>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</si>
  <si>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</si>
  <si>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</si>
  <si>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</si>
  <si>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</si>
  <si>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</si>
  <si>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</si>
  <si>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</si>
  <si>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</si>
  <si>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</si>
  <si>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</si>
  <si>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</si>
  <si>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</si>
  <si>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</si>
  <si>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</si>
  <si>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</si>
  <si>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</si>
  <si>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</si>
  <si>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</si>
  <si>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</si>
  <si>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</si>
  <si>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</si>
  <si>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</si>
  <si>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</si>
  <si>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</si>
  <si>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</si>
  <si>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</si>
  <si>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</si>
  <si>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</si>
  <si>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</si>
  <si>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</si>
  <si>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</si>
  <si>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</si>
  <si>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</si>
  <si>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</si>
  <si>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</si>
  <si>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</si>
  <si>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</si>
  <si>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</si>
  <si>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</si>
  <si>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</si>
  <si>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</si>
  <si>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</si>
  <si>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</si>
  <si>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</si>
  <si>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</si>
  <si>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</si>
  <si>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</si>
  <si>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</si>
  <si>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</si>
  <si>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</si>
  <si>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</si>
  <si>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</si>
  <si>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</si>
  <si>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</si>
  <si>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</si>
  <si>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</si>
  <si>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</si>
  <si>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</si>
  <si>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</si>
  <si>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</si>
  <si>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</si>
  <si>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</si>
  <si>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</si>
  <si>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</si>
  <si>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</si>
  <si>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</si>
  <si>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</si>
  <si>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</si>
  <si>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</si>
  <si>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</si>
  <si>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</si>
  <si>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</si>
  <si>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</si>
  <si>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</si>
  <si>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</si>
  <si>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</si>
  <si>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</si>
  <si>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</si>
  <si>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</si>
  <si>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</si>
  <si>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</si>
  <si>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</si>
  <si>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</si>
  <si>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</si>
  <si>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</si>
  <si>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</si>
  <si>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</si>
  <si>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</si>
  <si>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</si>
  <si>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</si>
  <si>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</si>
  <si>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</si>
  <si>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</si>
  <si>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</si>
  <si>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</si>
  <si>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</si>
  <si>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</si>
  <si>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</si>
  <si>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</si>
  <si>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</si>
  <si>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</si>
  <si>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</si>
  <si>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</si>
  <si>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</si>
  <si>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</si>
  <si>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</si>
  <si>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</si>
  <si>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</si>
  <si>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</si>
  <si>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</si>
  <si>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</si>
  <si>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</si>
  <si>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</si>
  <si>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</si>
  <si>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</si>
  <si>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</si>
  <si>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</si>
  <si>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</si>
  <si>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</si>
  <si>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</si>
  <si>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</si>
  <si>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</si>
  <si>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</si>
  <si>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</si>
  <si>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</si>
  <si>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</si>
  <si>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</si>
  <si>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</si>
  <si>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</si>
  <si>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</si>
  <si>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</si>
  <si>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</si>
  <si>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</si>
  <si>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</si>
  <si>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</si>
  <si>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</si>
  <si>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</si>
  <si>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</si>
  <si>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</si>
  <si>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</si>
  <si>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</si>
  <si>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</si>
  <si>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</si>
  <si>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</si>
  <si>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</si>
  <si>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</si>
  <si>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</si>
  <si>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</si>
  <si>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</si>
  <si>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</si>
  <si>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</si>
  <si>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</si>
  <si>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</si>
  <si>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</si>
  <si>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</si>
  <si>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</si>
  <si>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</si>
  <si>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</si>
  <si>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</si>
  <si>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</si>
  <si>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</si>
  <si>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</si>
  <si>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</si>
  <si>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</si>
  <si>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</si>
  <si>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</si>
  <si>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</si>
  <si>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</si>
  <si>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</si>
  <si>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</si>
  <si>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</si>
  <si>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</si>
  <si>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</si>
  <si>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</si>
  <si>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</si>
  <si>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</si>
  <si>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</si>
  <si>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</si>
  <si>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</si>
  <si>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</si>
  <si>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</si>
  <si>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</si>
  <si>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</si>
  <si>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</si>
  <si>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</si>
  <si>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</si>
  <si>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</si>
  <si>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</si>
  <si>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</si>
  <si>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</si>
  <si>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</si>
  <si>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</si>
  <si>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</si>
  <si>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</si>
  <si>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</si>
  <si>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</si>
  <si>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</si>
  <si>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</si>
  <si>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</si>
  <si>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</si>
  <si>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</si>
  <si>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</si>
  <si>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</si>
  <si>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</si>
  <si>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</si>
  <si>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</si>
  <si>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</si>
  <si>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</si>
  <si>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</si>
  <si>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</si>
  <si>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</si>
  <si>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</si>
  <si>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</si>
  <si>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</si>
  <si>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</si>
  <si>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</si>
  <si>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</si>
  <si>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</si>
  <si>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</si>
  <si>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</si>
  <si>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</si>
  <si>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</si>
  <si>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</si>
  <si>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</si>
  <si>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</si>
  <si>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</si>
  <si>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</si>
  <si>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</si>
  <si>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</si>
  <si>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</si>
  <si>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</si>
  <si>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</si>
  <si>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</si>
  <si>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</si>
  <si>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</si>
  <si>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</si>
  <si>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</si>
  <si>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</si>
  <si>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</si>
  <si>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</si>
  <si>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</si>
  <si>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</si>
  <si>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</si>
  <si>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</si>
  <si>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</si>
  <si>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</si>
  <si>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</si>
  <si>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</si>
  <si>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</si>
  <si>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</si>
  <si>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</si>
  <si>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</si>
  <si>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</si>
  <si>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</si>
  <si>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</si>
  <si>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</si>
  <si>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</si>
  <si>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</si>
  <si>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</si>
  <si>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</si>
  <si>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</si>
  <si>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</si>
  <si>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</si>
  <si>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</si>
  <si>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</si>
  <si>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</si>
  <si>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</si>
  <si>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</si>
  <si>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</si>
  <si>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</si>
  <si>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</si>
  <si>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</si>
  <si>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</si>
  <si>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</si>
  <si>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</si>
  <si>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</si>
  <si>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</si>
  <si>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</si>
  <si>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</si>
  <si>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</si>
  <si>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</si>
  <si>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</si>
  <si>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</si>
  <si>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</si>
  <si>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</si>
  <si>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</si>
  <si>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</si>
  <si>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</si>
  <si>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</si>
  <si>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</si>
  <si>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</si>
  <si>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</si>
  <si>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</si>
  <si>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</si>
  <si>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</si>
  <si>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</si>
  <si>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</si>
  <si>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</si>
  <si>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</si>
  <si>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</si>
  <si>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</si>
  <si>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</si>
  <si>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</si>
  <si>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</si>
  <si>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</si>
  <si>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</si>
  <si>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</si>
  <si>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</si>
  <si>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</si>
  <si>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</si>
  <si>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</si>
  <si>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</si>
  <si>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</si>
  <si>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</si>
  <si>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</si>
  <si>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</si>
  <si>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</si>
  <si>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</si>
  <si>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</si>
  <si>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</si>
  <si>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</si>
  <si>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</si>
  <si>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</si>
  <si>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</si>
  <si>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</si>
  <si>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</si>
  <si>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</si>
  <si>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</si>
  <si>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</si>
  <si>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</si>
  <si>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</si>
  <si>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</si>
  <si>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</si>
  <si>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</si>
  <si>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</si>
  <si>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</si>
  <si>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</si>
  <si>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</si>
  <si>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</si>
  <si>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</si>
  <si>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</si>
  <si>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</si>
  <si>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</si>
  <si>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</si>
  <si>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</si>
  <si>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</si>
  <si>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</si>
  <si>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</si>
  <si>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</si>
  <si>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</si>
  <si>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</si>
  <si>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</si>
  <si>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</si>
  <si>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</si>
  <si>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</si>
  <si>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</si>
  <si>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</si>
  <si>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</si>
  <si>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</si>
  <si>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</si>
  <si>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</si>
  <si>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</si>
  <si>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</si>
  <si>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</si>
  <si>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</si>
  <si>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</si>
  <si>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</si>
  <si>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</si>
  <si>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</si>
  <si>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</si>
  <si>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</si>
  <si>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</si>
  <si>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</si>
  <si>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</si>
  <si>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</si>
  <si>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</si>
  <si>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</si>
  <si>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</si>
  <si>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</si>
  <si>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</si>
  <si>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</si>
  <si>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</si>
  <si>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</si>
  <si>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</si>
  <si>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</si>
  <si>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</si>
  <si>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</si>
  <si>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</si>
  <si>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</si>
  <si>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</si>
  <si>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</si>
  <si>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</si>
  <si>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</si>
  <si>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</si>
  <si>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</si>
  <si>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</si>
  <si>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</si>
  <si>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</si>
  <si>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</si>
  <si>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</si>
  <si>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</si>
  <si>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</si>
  <si>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</si>
  <si>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</si>
  <si>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</si>
  <si>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</si>
  <si>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</si>
  <si>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</si>
  <si>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</si>
  <si>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</si>
  <si>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</si>
  <si>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</si>
  <si>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</si>
  <si>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</si>
  <si>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</si>
  <si>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</si>
  <si>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</si>
  <si>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</si>
  <si>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</si>
  <si>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</si>
  <si>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</si>
  <si>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</si>
  <si>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</si>
  <si>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</si>
  <si>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</si>
  <si>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</si>
  <si>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</si>
  <si>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</si>
  <si>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</si>
  <si>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</si>
  <si>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</si>
  <si>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</si>
  <si>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</si>
  <si>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</si>
  <si>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</si>
  <si>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</si>
  <si>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</si>
  <si>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</si>
  <si>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</si>
  <si>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</si>
  <si>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</si>
  <si>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</si>
  <si>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</si>
  <si>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</si>
  <si>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</si>
  <si>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</si>
  <si>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</si>
  <si>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</si>
  <si>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</si>
  <si>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</si>
  <si>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</si>
  <si>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</si>
  <si>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</si>
  <si>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</si>
  <si>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</si>
  <si>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</si>
  <si>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</si>
  <si>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33040</t>
  </si>
  <si>
    <t>LANGEMARK-POELKAPELLE</t>
  </si>
  <si>
    <t>referentietaak LNE (2017); Jaarverslag De Lijn</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</si>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</sst>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63335.660658476532</c:v>
                </c:pt>
                <c:pt idx="1">
                  <c:v>20320.928419686785</c:v>
                </c:pt>
                <c:pt idx="2">
                  <c:v>720.57600000000002</c:v>
                </c:pt>
                <c:pt idx="3">
                  <c:v>34919.707156333447</c:v>
                </c:pt>
                <c:pt idx="4">
                  <c:v>77880.803702033343</c:v>
                </c:pt>
                <c:pt idx="5">
                  <c:v>56054.495231742221</c:v>
                </c:pt>
                <c:pt idx="6">
                  <c:v>987.01441490251102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63335.660658476532</c:v>
                </c:pt>
                <c:pt idx="1">
                  <c:v>20320.928419686785</c:v>
                </c:pt>
                <c:pt idx="2">
                  <c:v>720.57600000000002</c:v>
                </c:pt>
                <c:pt idx="3">
                  <c:v>34919.707156333447</c:v>
                </c:pt>
                <c:pt idx="4">
                  <c:v>77880.803702033343</c:v>
                </c:pt>
                <c:pt idx="5">
                  <c:v>56054.495231742221</c:v>
                </c:pt>
                <c:pt idx="6">
                  <c:v>987.01441490251102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13504.582268541621</c:v>
                </c:pt>
                <c:pt idx="1">
                  <c:v>4145.5487542692572</c:v>
                </c:pt>
                <c:pt idx="2">
                  <c:v>151.90564375645164</c:v>
                </c:pt>
                <c:pt idx="3">
                  <c:v>8689.088236788526</c:v>
                </c:pt>
                <c:pt idx="4">
                  <c:v>15992.182614781348</c:v>
                </c:pt>
                <c:pt idx="5">
                  <c:v>13937.714575961476</c:v>
                </c:pt>
                <c:pt idx="6">
                  <c:v>248.89143101118327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13504.582268541621</c:v>
                </c:pt>
                <c:pt idx="1">
                  <c:v>4145.5487542692572</c:v>
                </c:pt>
                <c:pt idx="2">
                  <c:v>151.90564375645164</c:v>
                </c:pt>
                <c:pt idx="3">
                  <c:v>8689.088236788526</c:v>
                </c:pt>
                <c:pt idx="4">
                  <c:v>15992.182614781348</c:v>
                </c:pt>
                <c:pt idx="5">
                  <c:v>13937.714575961476</c:v>
                </c:pt>
                <c:pt idx="6">
                  <c:v>248.89143101118327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33040</v>
      </c>
      <c r="B6" s="386"/>
      <c r="C6" s="387"/>
    </row>
    <row r="7" spans="1:7" s="384" customFormat="1" ht="15.75" customHeight="1">
      <c r="A7" s="388" t="str">
        <f>txtMunicipality</f>
        <v>LANGEMARK-POELKAPELLE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10062.053674000003</v>
      </c>
      <c r="D10" s="681">
        <f ca="1">tertiair!C16</f>
        <v>0</v>
      </c>
      <c r="E10" s="681">
        <f ca="1">tertiair!D16</f>
        <v>9223.9198745980011</v>
      </c>
      <c r="F10" s="681">
        <f>tertiair!E16</f>
        <v>146.88759000217851</v>
      </c>
      <c r="G10" s="681">
        <f ca="1">tertiair!F16</f>
        <v>1047.4863026544267</v>
      </c>
      <c r="H10" s="681">
        <f>tertiair!G16</f>
        <v>0</v>
      </c>
      <c r="I10" s="681">
        <f>tertiair!H16</f>
        <v>0</v>
      </c>
      <c r="J10" s="681">
        <f>tertiair!I16</f>
        <v>0</v>
      </c>
      <c r="K10" s="681">
        <f>tertiair!J16</f>
        <v>1.2764318450870959E-2</v>
      </c>
      <c r="L10" s="681">
        <f>tertiair!K16</f>
        <v>0</v>
      </c>
      <c r="M10" s="681">
        <f ca="1">tertiair!L16</f>
        <v>0</v>
      </c>
      <c r="N10" s="681">
        <f>tertiair!M16</f>
        <v>0</v>
      </c>
      <c r="O10" s="681">
        <f ca="1">tertiair!N16</f>
        <v>503.70781504139171</v>
      </c>
      <c r="P10" s="681">
        <f>tertiair!O16</f>
        <v>4.8972607658411542</v>
      </c>
      <c r="Q10" s="682">
        <f>tertiair!P16</f>
        <v>52.539138306495019</v>
      </c>
      <c r="R10" s="684">
        <f ca="1">SUM(C10:Q10)</f>
        <v>21041.504419686786</v>
      </c>
      <c r="S10" s="67"/>
    </row>
    <row r="11" spans="1:19" s="444" customFormat="1">
      <c r="A11" s="802" t="s">
        <v>219</v>
      </c>
      <c r="B11" s="807"/>
      <c r="C11" s="681">
        <f>huishoudens!B8</f>
        <v>13331.848660384378</v>
      </c>
      <c r="D11" s="681">
        <f>huishoudens!C8</f>
        <v>0</v>
      </c>
      <c r="E11" s="681">
        <f>huishoudens!D8</f>
        <v>19000.519586180002</v>
      </c>
      <c r="F11" s="681">
        <f>huishoudens!E8</f>
        <v>1505.4189942686603</v>
      </c>
      <c r="G11" s="681">
        <f>huishoudens!F8</f>
        <v>24269.360619582749</v>
      </c>
      <c r="H11" s="681">
        <f>huishoudens!G8</f>
        <v>0</v>
      </c>
      <c r="I11" s="681">
        <f>huishoudens!H8</f>
        <v>0</v>
      </c>
      <c r="J11" s="681">
        <f>huishoudens!I8</f>
        <v>0</v>
      </c>
      <c r="K11" s="681">
        <f>huishoudens!J8</f>
        <v>96.955025683849897</v>
      </c>
      <c r="L11" s="681">
        <f>huishoudens!K8</f>
        <v>0</v>
      </c>
      <c r="M11" s="681">
        <f>huishoudens!L8</f>
        <v>0</v>
      </c>
      <c r="N11" s="681">
        <f>huishoudens!M8</f>
        <v>0</v>
      </c>
      <c r="O11" s="681">
        <f>huishoudens!N8</f>
        <v>4637.6452754744587</v>
      </c>
      <c r="P11" s="681">
        <f>huishoudens!O8</f>
        <v>325.36914797947321</v>
      </c>
      <c r="Q11" s="682">
        <f>huishoudens!P8</f>
        <v>168.54334892296038</v>
      </c>
      <c r="R11" s="684">
        <f>SUM(C11:Q11)</f>
        <v>63335.660658476532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53244.526238999999</v>
      </c>
      <c r="D13" s="681">
        <f>industrie!C18</f>
        <v>0</v>
      </c>
      <c r="E13" s="681">
        <f>industrie!D18</f>
        <v>15854.124933261999</v>
      </c>
      <c r="F13" s="681">
        <f>industrie!E18</f>
        <v>860.87556299448136</v>
      </c>
      <c r="G13" s="681">
        <f>industrie!F18</f>
        <v>4972.433745540854</v>
      </c>
      <c r="H13" s="681">
        <f>industrie!G18</f>
        <v>0</v>
      </c>
      <c r="I13" s="681">
        <f>industrie!H18</f>
        <v>0</v>
      </c>
      <c r="J13" s="681">
        <f>industrie!I18</f>
        <v>0</v>
      </c>
      <c r="K13" s="681">
        <f>industrie!J18</f>
        <v>118.74880414817787</v>
      </c>
      <c r="L13" s="681">
        <f>industrie!K18</f>
        <v>0</v>
      </c>
      <c r="M13" s="681">
        <f>industrie!L18</f>
        <v>0</v>
      </c>
      <c r="N13" s="681">
        <f>industrie!M18</f>
        <v>0</v>
      </c>
      <c r="O13" s="681">
        <f>industrie!N18</f>
        <v>2830.0944170878183</v>
      </c>
      <c r="P13" s="681">
        <f>industrie!O18</f>
        <v>0</v>
      </c>
      <c r="Q13" s="682">
        <f>industrie!P18</f>
        <v>0</v>
      </c>
      <c r="R13" s="684">
        <f>SUM(C13:Q13)</f>
        <v>77880.803702033343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76638.428573384386</v>
      </c>
      <c r="D16" s="717">
        <f t="shared" ref="D16:R16" ca="1" si="0">SUM(D9:D15)</f>
        <v>0</v>
      </c>
      <c r="E16" s="717">
        <f t="shared" ca="1" si="0"/>
        <v>44078.564394040004</v>
      </c>
      <c r="F16" s="717">
        <f t="shared" si="0"/>
        <v>2513.1821472653201</v>
      </c>
      <c r="G16" s="717">
        <f t="shared" ca="1" si="0"/>
        <v>30289.280667778028</v>
      </c>
      <c r="H16" s="717">
        <f t="shared" si="0"/>
        <v>0</v>
      </c>
      <c r="I16" s="717">
        <f t="shared" si="0"/>
        <v>0</v>
      </c>
      <c r="J16" s="717">
        <f t="shared" si="0"/>
        <v>0</v>
      </c>
      <c r="K16" s="717">
        <f t="shared" si="0"/>
        <v>215.71659415047864</v>
      </c>
      <c r="L16" s="717">
        <f t="shared" si="0"/>
        <v>0</v>
      </c>
      <c r="M16" s="717">
        <f t="shared" ca="1" si="0"/>
        <v>0</v>
      </c>
      <c r="N16" s="717">
        <f t="shared" si="0"/>
        <v>0</v>
      </c>
      <c r="O16" s="717">
        <f t="shared" ca="1" si="0"/>
        <v>7971.4475076036688</v>
      </c>
      <c r="P16" s="717">
        <f t="shared" si="0"/>
        <v>330.26640874531438</v>
      </c>
      <c r="Q16" s="717">
        <f t="shared" si="0"/>
        <v>221.08248722945541</v>
      </c>
      <c r="R16" s="717">
        <f t="shared" ca="1" si="0"/>
        <v>162257.96878019668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12.72752768850628</v>
      </c>
      <c r="D19" s="681">
        <f>transport!C54</f>
        <v>0</v>
      </c>
      <c r="E19" s="681">
        <f>transport!D54</f>
        <v>0</v>
      </c>
      <c r="F19" s="681">
        <f>transport!E54</f>
        <v>0</v>
      </c>
      <c r="G19" s="681">
        <f>transport!F54</f>
        <v>0</v>
      </c>
      <c r="H19" s="681">
        <f>transport!G54</f>
        <v>922.12855030875312</v>
      </c>
      <c r="I19" s="681">
        <f>transport!H54</f>
        <v>0</v>
      </c>
      <c r="J19" s="681">
        <f>transport!I54</f>
        <v>0</v>
      </c>
      <c r="K19" s="681">
        <f>transport!J54</f>
        <v>0</v>
      </c>
      <c r="L19" s="681">
        <f>transport!K54</f>
        <v>0</v>
      </c>
      <c r="M19" s="681">
        <f>transport!L54</f>
        <v>0</v>
      </c>
      <c r="N19" s="681">
        <f>transport!M54</f>
        <v>52.158336905251637</v>
      </c>
      <c r="O19" s="681">
        <f>transport!N54</f>
        <v>0</v>
      </c>
      <c r="P19" s="681">
        <f>transport!O54</f>
        <v>0</v>
      </c>
      <c r="Q19" s="682">
        <f>transport!P54</f>
        <v>0</v>
      </c>
      <c r="R19" s="684">
        <f>SUM(C19:Q19)</f>
        <v>987.01441490251102</v>
      </c>
      <c r="S19" s="67"/>
    </row>
    <row r="20" spans="1:19" s="444" customFormat="1">
      <c r="A20" s="802" t="s">
        <v>301</v>
      </c>
      <c r="B20" s="807"/>
      <c r="C20" s="681">
        <f>transport!B14</f>
        <v>59.943138868027042</v>
      </c>
      <c r="D20" s="681">
        <f>transport!C14</f>
        <v>0</v>
      </c>
      <c r="E20" s="681">
        <f>transport!D14</f>
        <v>113.35107058625948</v>
      </c>
      <c r="F20" s="681">
        <f>transport!E14</f>
        <v>97.489746442473702</v>
      </c>
      <c r="G20" s="681">
        <f>transport!F14</f>
        <v>0</v>
      </c>
      <c r="H20" s="681">
        <f>transport!G14</f>
        <v>42621.076099763101</v>
      </c>
      <c r="I20" s="681">
        <f>transport!H14</f>
        <v>10041.058116067266</v>
      </c>
      <c r="J20" s="681">
        <f>transport!I14</f>
        <v>0</v>
      </c>
      <c r="K20" s="681">
        <f>transport!J14</f>
        <v>0</v>
      </c>
      <c r="L20" s="681">
        <f>transport!K14</f>
        <v>0</v>
      </c>
      <c r="M20" s="681">
        <f>transport!L14</f>
        <v>0</v>
      </c>
      <c r="N20" s="681">
        <f>transport!M14</f>
        <v>3121.5770600150909</v>
      </c>
      <c r="O20" s="681">
        <f>transport!N14</f>
        <v>0</v>
      </c>
      <c r="P20" s="681">
        <f>transport!O14</f>
        <v>0</v>
      </c>
      <c r="Q20" s="682">
        <f>transport!P14</f>
        <v>0</v>
      </c>
      <c r="R20" s="684">
        <f>SUM(C20:Q20)</f>
        <v>56054.495231742221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72.67066655653332</v>
      </c>
      <c r="D22" s="805">
        <f t="shared" ref="D22:R22" si="1">SUM(D18:D21)</f>
        <v>0</v>
      </c>
      <c r="E22" s="805">
        <f t="shared" si="1"/>
        <v>113.35107058625948</v>
      </c>
      <c r="F22" s="805">
        <f t="shared" si="1"/>
        <v>97.489746442473702</v>
      </c>
      <c r="G22" s="805">
        <f t="shared" si="1"/>
        <v>0</v>
      </c>
      <c r="H22" s="805">
        <f t="shared" si="1"/>
        <v>43543.204650071857</v>
      </c>
      <c r="I22" s="805">
        <f t="shared" si="1"/>
        <v>10041.058116067266</v>
      </c>
      <c r="J22" s="805">
        <f t="shared" si="1"/>
        <v>0</v>
      </c>
      <c r="K22" s="805">
        <f t="shared" si="1"/>
        <v>0</v>
      </c>
      <c r="L22" s="805">
        <f t="shared" si="1"/>
        <v>0</v>
      </c>
      <c r="M22" s="805">
        <f t="shared" si="1"/>
        <v>0</v>
      </c>
      <c r="N22" s="805">
        <f t="shared" si="1"/>
        <v>3173.7353969203423</v>
      </c>
      <c r="O22" s="805">
        <f t="shared" si="1"/>
        <v>0</v>
      </c>
      <c r="P22" s="805">
        <f t="shared" si="1"/>
        <v>0</v>
      </c>
      <c r="Q22" s="805">
        <f t="shared" si="1"/>
        <v>0</v>
      </c>
      <c r="R22" s="805">
        <f t="shared" si="1"/>
        <v>57041.509646644736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4607.5502100000003</v>
      </c>
      <c r="D24" s="681">
        <f>+landbouw!C8</f>
        <v>9530.3571428571431</v>
      </c>
      <c r="E24" s="681">
        <f>+landbouw!D8</f>
        <v>3084.9947920857121</v>
      </c>
      <c r="F24" s="681">
        <f>+landbouw!E8</f>
        <v>143.80012267148379</v>
      </c>
      <c r="G24" s="681">
        <f>+landbouw!F8</f>
        <v>16283.592852783431</v>
      </c>
      <c r="H24" s="681">
        <f>+landbouw!G8</f>
        <v>0</v>
      </c>
      <c r="I24" s="681">
        <f>+landbouw!H8</f>
        <v>0</v>
      </c>
      <c r="J24" s="681">
        <f>+landbouw!I8</f>
        <v>0</v>
      </c>
      <c r="K24" s="681">
        <f>+landbouw!J8</f>
        <v>1269.4120359356718</v>
      </c>
      <c r="L24" s="681">
        <f>+landbouw!K8</f>
        <v>0</v>
      </c>
      <c r="M24" s="681">
        <f>+landbouw!L8</f>
        <v>0</v>
      </c>
      <c r="N24" s="681">
        <f>+landbouw!M8</f>
        <v>0</v>
      </c>
      <c r="O24" s="681">
        <f>+landbouw!N8</f>
        <v>0</v>
      </c>
      <c r="P24" s="681">
        <f>+landbouw!O8</f>
        <v>0</v>
      </c>
      <c r="Q24" s="682">
        <f>+landbouw!P8</f>
        <v>0</v>
      </c>
      <c r="R24" s="684">
        <f>SUM(C24:Q24)</f>
        <v>34919.707156333447</v>
      </c>
      <c r="S24" s="67"/>
    </row>
    <row r="25" spans="1:19" s="444" customFormat="1" ht="15" thickBot="1">
      <c r="A25" s="824" t="s">
        <v>714</v>
      </c>
      <c r="B25" s="943"/>
      <c r="C25" s="944">
        <f>IF(Onbekend_ele_kWh="---",0,Onbekend_ele_kWh)/1000+IF(REST_rest_ele_kWh="---",0,REST_rest_ele_kWh)/1000</f>
        <v>322.73944799999998</v>
      </c>
      <c r="D25" s="944"/>
      <c r="E25" s="944">
        <f>IF(onbekend_gas_kWh="---",0,onbekend_gas_kWh)/1000+IF(REST_rest_gas_kWh="---",0,REST_rest_gas_kWh)/1000</f>
        <v>539.63124100000005</v>
      </c>
      <c r="F25" s="944"/>
      <c r="G25" s="944"/>
      <c r="H25" s="944"/>
      <c r="I25" s="944"/>
      <c r="J25" s="944"/>
      <c r="K25" s="944"/>
      <c r="L25" s="944"/>
      <c r="M25" s="944"/>
      <c r="N25" s="944"/>
      <c r="O25" s="944"/>
      <c r="P25" s="944"/>
      <c r="Q25" s="945"/>
      <c r="R25" s="684">
        <f>SUM(C25:Q25)</f>
        <v>862.37068900000008</v>
      </c>
      <c r="S25" s="67"/>
    </row>
    <row r="26" spans="1:19" s="444" customFormat="1" ht="15.75" thickBot="1">
      <c r="A26" s="689" t="s">
        <v>715</v>
      </c>
      <c r="B26" s="810"/>
      <c r="C26" s="805">
        <f>SUM(C24:C25)</f>
        <v>4930.2896580000006</v>
      </c>
      <c r="D26" s="805">
        <f t="shared" ref="D26:R26" si="2">SUM(D24:D25)</f>
        <v>9530.3571428571431</v>
      </c>
      <c r="E26" s="805">
        <f t="shared" si="2"/>
        <v>3624.6260330857122</v>
      </c>
      <c r="F26" s="805">
        <f t="shared" si="2"/>
        <v>143.80012267148379</v>
      </c>
      <c r="G26" s="805">
        <f t="shared" si="2"/>
        <v>16283.592852783431</v>
      </c>
      <c r="H26" s="805">
        <f t="shared" si="2"/>
        <v>0</v>
      </c>
      <c r="I26" s="805">
        <f t="shared" si="2"/>
        <v>0</v>
      </c>
      <c r="J26" s="805">
        <f t="shared" si="2"/>
        <v>0</v>
      </c>
      <c r="K26" s="805">
        <f t="shared" si="2"/>
        <v>1269.4120359356718</v>
      </c>
      <c r="L26" s="805">
        <f t="shared" si="2"/>
        <v>0</v>
      </c>
      <c r="M26" s="805">
        <f t="shared" si="2"/>
        <v>0</v>
      </c>
      <c r="N26" s="805">
        <f t="shared" si="2"/>
        <v>0</v>
      </c>
      <c r="O26" s="805">
        <f t="shared" si="2"/>
        <v>0</v>
      </c>
      <c r="P26" s="805">
        <f t="shared" si="2"/>
        <v>0</v>
      </c>
      <c r="Q26" s="805">
        <f t="shared" si="2"/>
        <v>0</v>
      </c>
      <c r="R26" s="805">
        <f t="shared" si="2"/>
        <v>35782.07784533345</v>
      </c>
      <c r="S26" s="67"/>
    </row>
    <row r="27" spans="1:19" s="444" customFormat="1" ht="17.25" thickTop="1" thickBot="1">
      <c r="A27" s="690" t="s">
        <v>115</v>
      </c>
      <c r="B27" s="797"/>
      <c r="C27" s="691">
        <f ca="1">C22+C16+C26</f>
        <v>81641.388897940909</v>
      </c>
      <c r="D27" s="691">
        <f t="shared" ref="D27:R27" ca="1" si="3">D22+D16+D26</f>
        <v>9530.3571428571431</v>
      </c>
      <c r="E27" s="691">
        <f t="shared" ca="1" si="3"/>
        <v>47816.541497711973</v>
      </c>
      <c r="F27" s="691">
        <f t="shared" si="3"/>
        <v>2754.4720163792776</v>
      </c>
      <c r="G27" s="691">
        <f t="shared" ca="1" si="3"/>
        <v>46572.873520561458</v>
      </c>
      <c r="H27" s="691">
        <f t="shared" si="3"/>
        <v>43543.204650071857</v>
      </c>
      <c r="I27" s="691">
        <f t="shared" si="3"/>
        <v>10041.058116067266</v>
      </c>
      <c r="J27" s="691">
        <f t="shared" si="3"/>
        <v>0</v>
      </c>
      <c r="K27" s="691">
        <f t="shared" si="3"/>
        <v>1485.1286300861505</v>
      </c>
      <c r="L27" s="691">
        <f t="shared" si="3"/>
        <v>0</v>
      </c>
      <c r="M27" s="691">
        <f t="shared" ca="1" si="3"/>
        <v>0</v>
      </c>
      <c r="N27" s="691">
        <f t="shared" si="3"/>
        <v>3173.7353969203423</v>
      </c>
      <c r="O27" s="691">
        <f t="shared" ca="1" si="3"/>
        <v>7971.4475076036688</v>
      </c>
      <c r="P27" s="691">
        <f t="shared" si="3"/>
        <v>330.26640874531438</v>
      </c>
      <c r="Q27" s="691">
        <f t="shared" si="3"/>
        <v>221.08248722945541</v>
      </c>
      <c r="R27" s="691">
        <f t="shared" ca="1" si="3"/>
        <v>255081.55627217487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2121.1957390489547</v>
      </c>
      <c r="D40" s="681">
        <f ca="1">tertiair!C20</f>
        <v>0</v>
      </c>
      <c r="E40" s="681">
        <f ca="1">tertiair!D20</f>
        <v>1863.2318146687962</v>
      </c>
      <c r="F40" s="681">
        <f>tertiair!E20</f>
        <v>33.343482930494524</v>
      </c>
      <c r="G40" s="681">
        <f ca="1">tertiair!F20</f>
        <v>279.67884280873193</v>
      </c>
      <c r="H40" s="681">
        <f>tertiair!G20</f>
        <v>0</v>
      </c>
      <c r="I40" s="681">
        <f>tertiair!H20</f>
        <v>0</v>
      </c>
      <c r="J40" s="681">
        <f>tertiair!I20</f>
        <v>0</v>
      </c>
      <c r="K40" s="681">
        <f>tertiair!J20</f>
        <v>4.5185687316083188E-3</v>
      </c>
      <c r="L40" s="681">
        <f>tertiair!K20</f>
        <v>0</v>
      </c>
      <c r="M40" s="681">
        <f ca="1">tertiair!L20</f>
        <v>0</v>
      </c>
      <c r="N40" s="681">
        <f>tertiair!M20</f>
        <v>0</v>
      </c>
      <c r="O40" s="681">
        <f ca="1">tertiair!N20</f>
        <v>0</v>
      </c>
      <c r="P40" s="681">
        <f>tertiair!O20</f>
        <v>0</v>
      </c>
      <c r="Q40" s="764">
        <f>tertiair!P20</f>
        <v>0</v>
      </c>
      <c r="R40" s="843">
        <f t="shared" ca="1" si="4"/>
        <v>4297.4543980257085</v>
      </c>
    </row>
    <row r="41" spans="1:18">
      <c r="A41" s="815" t="s">
        <v>219</v>
      </c>
      <c r="B41" s="822"/>
      <c r="C41" s="681">
        <f ca="1">huishoudens!B12</f>
        <v>2810.5058359135974</v>
      </c>
      <c r="D41" s="681">
        <f ca="1">huishoudens!C12</f>
        <v>0</v>
      </c>
      <c r="E41" s="681">
        <f>huishoudens!D12</f>
        <v>3838.1049564083605</v>
      </c>
      <c r="F41" s="681">
        <f>huishoudens!E12</f>
        <v>341.73011169898592</v>
      </c>
      <c r="G41" s="681">
        <f>huishoudens!F12</f>
        <v>6479.9192854285939</v>
      </c>
      <c r="H41" s="681">
        <f>huishoudens!G12</f>
        <v>0</v>
      </c>
      <c r="I41" s="681">
        <f>huishoudens!H12</f>
        <v>0</v>
      </c>
      <c r="J41" s="681">
        <f>huishoudens!I12</f>
        <v>0</v>
      </c>
      <c r="K41" s="681">
        <f>huishoudens!J12</f>
        <v>34.322079092082859</v>
      </c>
      <c r="L41" s="681">
        <f>huishoudens!K12</f>
        <v>0</v>
      </c>
      <c r="M41" s="681">
        <f>huishoudens!L12</f>
        <v>0</v>
      </c>
      <c r="N41" s="681">
        <f>huishoudens!M12</f>
        <v>0</v>
      </c>
      <c r="O41" s="681">
        <f>huishoudens!N12</f>
        <v>0</v>
      </c>
      <c r="P41" s="681">
        <f>huishoudens!O12</f>
        <v>0</v>
      </c>
      <c r="Q41" s="764">
        <f>huishoudens!P12</f>
        <v>0</v>
      </c>
      <c r="R41" s="843">
        <f t="shared" ca="1" si="4"/>
        <v>13504.582268541621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11224.553738734812</v>
      </c>
      <c r="D43" s="681">
        <f ca="1">industrie!C22</f>
        <v>0</v>
      </c>
      <c r="E43" s="681">
        <f>industrie!D22</f>
        <v>3202.5332365189242</v>
      </c>
      <c r="F43" s="681">
        <f>industrie!E22</f>
        <v>195.41875279974727</v>
      </c>
      <c r="G43" s="681">
        <f>industrie!F22</f>
        <v>1327.6398100594081</v>
      </c>
      <c r="H43" s="681">
        <f>industrie!G22</f>
        <v>0</v>
      </c>
      <c r="I43" s="681">
        <f>industrie!H22</f>
        <v>0</v>
      </c>
      <c r="J43" s="681">
        <f>industrie!I22</f>
        <v>0</v>
      </c>
      <c r="K43" s="681">
        <f>industrie!J22</f>
        <v>42.037076668454965</v>
      </c>
      <c r="L43" s="681">
        <f>industrie!K22</f>
        <v>0</v>
      </c>
      <c r="M43" s="681">
        <f>industrie!L22</f>
        <v>0</v>
      </c>
      <c r="N43" s="681">
        <f>industrie!M22</f>
        <v>0</v>
      </c>
      <c r="O43" s="681">
        <f>industrie!N22</f>
        <v>0</v>
      </c>
      <c r="P43" s="681">
        <f>industrie!O22</f>
        <v>0</v>
      </c>
      <c r="Q43" s="764">
        <f>industrie!P22</f>
        <v>0</v>
      </c>
      <c r="R43" s="842">
        <f t="shared" ca="1" si="4"/>
        <v>15992.182614781348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16156.255313697364</v>
      </c>
      <c r="D46" s="717">
        <f t="shared" ref="D46:Q46" ca="1" si="5">SUM(D39:D45)</f>
        <v>0</v>
      </c>
      <c r="E46" s="717">
        <f t="shared" ca="1" si="5"/>
        <v>8903.8700075960805</v>
      </c>
      <c r="F46" s="717">
        <f t="shared" si="5"/>
        <v>570.49234742922772</v>
      </c>
      <c r="G46" s="717">
        <f t="shared" ca="1" si="5"/>
        <v>8087.2379382967338</v>
      </c>
      <c r="H46" s="717">
        <f t="shared" si="5"/>
        <v>0</v>
      </c>
      <c r="I46" s="717">
        <f t="shared" si="5"/>
        <v>0</v>
      </c>
      <c r="J46" s="717">
        <f t="shared" si="5"/>
        <v>0</v>
      </c>
      <c r="K46" s="717">
        <f t="shared" si="5"/>
        <v>76.363674329269429</v>
      </c>
      <c r="L46" s="717">
        <f t="shared" si="5"/>
        <v>0</v>
      </c>
      <c r="M46" s="717">
        <f t="shared" ca="1" si="5"/>
        <v>0</v>
      </c>
      <c r="N46" s="717">
        <f t="shared" si="5"/>
        <v>0</v>
      </c>
      <c r="O46" s="717">
        <f t="shared" ca="1" si="5"/>
        <v>0</v>
      </c>
      <c r="P46" s="717">
        <f t="shared" si="5"/>
        <v>0</v>
      </c>
      <c r="Q46" s="717">
        <f t="shared" si="5"/>
        <v>0</v>
      </c>
      <c r="R46" s="717">
        <f ca="1">SUM(R39:R45)</f>
        <v>33794.219281348676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2.6831080787461827</v>
      </c>
      <c r="D49" s="681">
        <f ca="1">transport!C58</f>
        <v>0</v>
      </c>
      <c r="E49" s="681">
        <f>transport!D58</f>
        <v>0</v>
      </c>
      <c r="F49" s="681">
        <f>transport!E58</f>
        <v>0</v>
      </c>
      <c r="G49" s="681">
        <f>transport!F58</f>
        <v>0</v>
      </c>
      <c r="H49" s="681">
        <f>transport!G58</f>
        <v>246.20832293243708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248.89143101118327</v>
      </c>
    </row>
    <row r="50" spans="1:18">
      <c r="A50" s="818" t="s">
        <v>301</v>
      </c>
      <c r="B50" s="828"/>
      <c r="C50" s="687">
        <f ca="1">transport!B18</f>
        <v>12.636697723113212</v>
      </c>
      <c r="D50" s="687">
        <f>transport!C18</f>
        <v>0</v>
      </c>
      <c r="E50" s="687">
        <f>transport!D18</f>
        <v>22.896916258424415</v>
      </c>
      <c r="F50" s="687">
        <f>transport!E18</f>
        <v>22.13017244244153</v>
      </c>
      <c r="G50" s="687">
        <f>transport!F18</f>
        <v>0</v>
      </c>
      <c r="H50" s="687">
        <f>transport!G18</f>
        <v>11379.827318636748</v>
      </c>
      <c r="I50" s="687">
        <f>transport!H18</f>
        <v>2500.2234709007494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13937.714575961476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15.319805801859395</v>
      </c>
      <c r="D52" s="717">
        <f t="shared" ref="D52:Q52" ca="1" si="6">SUM(D48:D51)</f>
        <v>0</v>
      </c>
      <c r="E52" s="717">
        <f t="shared" si="6"/>
        <v>22.896916258424415</v>
      </c>
      <c r="F52" s="717">
        <f t="shared" si="6"/>
        <v>22.13017244244153</v>
      </c>
      <c r="G52" s="717">
        <f t="shared" si="6"/>
        <v>0</v>
      </c>
      <c r="H52" s="717">
        <f t="shared" si="6"/>
        <v>11626.035641569184</v>
      </c>
      <c r="I52" s="717">
        <f t="shared" si="6"/>
        <v>2500.2234709007494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14186.606006972659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971.32416398856469</v>
      </c>
      <c r="D54" s="687">
        <f ca="1">+landbouw!C12</f>
        <v>2264.8613445378155</v>
      </c>
      <c r="E54" s="687">
        <f>+landbouw!D12</f>
        <v>623.16894800131388</v>
      </c>
      <c r="F54" s="687">
        <f>+landbouw!E12</f>
        <v>32.642627846426819</v>
      </c>
      <c r="G54" s="687">
        <f>+landbouw!F12</f>
        <v>4347.7192916931763</v>
      </c>
      <c r="H54" s="687">
        <f>+landbouw!G12</f>
        <v>0</v>
      </c>
      <c r="I54" s="687">
        <f>+landbouw!H12</f>
        <v>0</v>
      </c>
      <c r="J54" s="687">
        <f>+landbouw!I12</f>
        <v>0</v>
      </c>
      <c r="K54" s="687">
        <f>+landbouw!J12</f>
        <v>449.37186072122779</v>
      </c>
      <c r="L54" s="687">
        <f>+landbouw!K12</f>
        <v>0</v>
      </c>
      <c r="M54" s="687">
        <f>+landbouw!L12</f>
        <v>0</v>
      </c>
      <c r="N54" s="687">
        <f>+landbouw!M12</f>
        <v>0</v>
      </c>
      <c r="O54" s="687">
        <f>+landbouw!N12</f>
        <v>0</v>
      </c>
      <c r="P54" s="687">
        <f>+landbouw!O12</f>
        <v>0</v>
      </c>
      <c r="Q54" s="688">
        <f>+landbouw!P12</f>
        <v>0</v>
      </c>
      <c r="R54" s="716">
        <f ca="1">SUM(C54:Q54)</f>
        <v>8689.088236788526</v>
      </c>
    </row>
    <row r="55" spans="1:18" ht="15" thickBot="1">
      <c r="A55" s="818" t="s">
        <v>714</v>
      </c>
      <c r="B55" s="828"/>
      <c r="C55" s="687">
        <f ca="1">C25*'EF ele_warmte'!B12</f>
        <v>68.037158625935149</v>
      </c>
      <c r="D55" s="687"/>
      <c r="E55" s="687">
        <f>E25*EF_CO2_aardgas</f>
        <v>109.00551068200002</v>
      </c>
      <c r="F55" s="687"/>
      <c r="G55" s="687"/>
      <c r="H55" s="687"/>
      <c r="I55" s="687"/>
      <c r="J55" s="687"/>
      <c r="K55" s="687"/>
      <c r="L55" s="687"/>
      <c r="M55" s="687"/>
      <c r="N55" s="687"/>
      <c r="O55" s="687"/>
      <c r="P55" s="687"/>
      <c r="Q55" s="688"/>
      <c r="R55" s="716">
        <f ca="1">SUM(C55:Q55)</f>
        <v>177.04266930793517</v>
      </c>
    </row>
    <row r="56" spans="1:18" ht="15.75" thickBot="1">
      <c r="A56" s="816" t="s">
        <v>715</v>
      </c>
      <c r="B56" s="829"/>
      <c r="C56" s="717">
        <f ca="1">SUM(C54:C55)</f>
        <v>1039.3613226144998</v>
      </c>
      <c r="D56" s="717">
        <f t="shared" ref="D56:Q56" ca="1" si="7">SUM(D54:D55)</f>
        <v>2264.8613445378155</v>
      </c>
      <c r="E56" s="717">
        <f t="shared" si="7"/>
        <v>732.1744586833139</v>
      </c>
      <c r="F56" s="717">
        <f t="shared" si="7"/>
        <v>32.642627846426819</v>
      </c>
      <c r="G56" s="717">
        <f t="shared" si="7"/>
        <v>4347.7192916931763</v>
      </c>
      <c r="H56" s="717">
        <f t="shared" si="7"/>
        <v>0</v>
      </c>
      <c r="I56" s="717">
        <f t="shared" si="7"/>
        <v>0</v>
      </c>
      <c r="J56" s="717">
        <f t="shared" si="7"/>
        <v>0</v>
      </c>
      <c r="K56" s="717">
        <f t="shared" si="7"/>
        <v>449.37186072122779</v>
      </c>
      <c r="L56" s="717">
        <f t="shared" si="7"/>
        <v>0</v>
      </c>
      <c r="M56" s="717">
        <f t="shared" si="7"/>
        <v>0</v>
      </c>
      <c r="N56" s="717">
        <f t="shared" si="7"/>
        <v>0</v>
      </c>
      <c r="O56" s="717">
        <f t="shared" si="7"/>
        <v>0</v>
      </c>
      <c r="P56" s="717">
        <f t="shared" si="7"/>
        <v>0</v>
      </c>
      <c r="Q56" s="718">
        <f t="shared" si="7"/>
        <v>0</v>
      </c>
      <c r="R56" s="719">
        <f ca="1">SUM(R54:R55)</f>
        <v>8866.1309060964613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17210.936442113722</v>
      </c>
      <c r="D61" s="725">
        <f t="shared" ref="D61:Q61" ca="1" si="8">D46+D52+D56</f>
        <v>2264.8613445378155</v>
      </c>
      <c r="E61" s="725">
        <f t="shared" ca="1" si="8"/>
        <v>9658.9413825378178</v>
      </c>
      <c r="F61" s="725">
        <f t="shared" si="8"/>
        <v>625.26514771809616</v>
      </c>
      <c r="G61" s="725">
        <f t="shared" ca="1" si="8"/>
        <v>12434.95722998991</v>
      </c>
      <c r="H61" s="725">
        <f t="shared" si="8"/>
        <v>11626.035641569184</v>
      </c>
      <c r="I61" s="725">
        <f t="shared" si="8"/>
        <v>2500.2234709007494</v>
      </c>
      <c r="J61" s="725">
        <f t="shared" si="8"/>
        <v>0</v>
      </c>
      <c r="K61" s="725">
        <f t="shared" si="8"/>
        <v>525.73553505049722</v>
      </c>
      <c r="L61" s="725">
        <f t="shared" si="8"/>
        <v>0</v>
      </c>
      <c r="M61" s="725">
        <f t="shared" ca="1" si="8"/>
        <v>0</v>
      </c>
      <c r="N61" s="725">
        <f t="shared" si="8"/>
        <v>0</v>
      </c>
      <c r="O61" s="725">
        <f t="shared" ca="1" si="8"/>
        <v>0</v>
      </c>
      <c r="P61" s="725">
        <f t="shared" si="8"/>
        <v>0</v>
      </c>
      <c r="Q61" s="725">
        <f t="shared" si="8"/>
        <v>0</v>
      </c>
      <c r="R61" s="725">
        <f ca="1">R46+R52+R56</f>
        <v>56846.956194417799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0.21081141164353467</v>
      </c>
      <c r="D63" s="771">
        <f t="shared" ca="1" si="9"/>
        <v>0.23764705882352943</v>
      </c>
      <c r="E63" s="969">
        <f t="shared" ca="1" si="9"/>
        <v>0.20199999999999999</v>
      </c>
      <c r="F63" s="771">
        <f t="shared" si="9"/>
        <v>0.22700000000000004</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4266.3674004872892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6671.25</v>
      </c>
      <c r="D76" s="952">
        <f>'lokale energieproductie'!C8</f>
        <v>7848.5294117647054</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1585.4029411764707</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4266.3674004872892</v>
      </c>
      <c r="C78" s="743">
        <f>SUM(C72:C77)</f>
        <v>6671.25</v>
      </c>
      <c r="D78" s="744">
        <f t="shared" ref="D78:H78" si="10">SUM(D76:D77)</f>
        <v>7848.5294117647054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1585.4029411764707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9530.3571428571431</v>
      </c>
      <c r="D87" s="767">
        <f>'lokale energieproductie'!C17</f>
        <v>11212.18487394958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2264.8613445378155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9530.3571428571431</v>
      </c>
      <c r="D90" s="743">
        <f t="shared" ref="D90:H90" si="12">SUM(D87:D89)</f>
        <v>11212.18487394958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2264.8613445378155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13331.848660384378</v>
      </c>
      <c r="C4" s="448">
        <f>huishoudens!C8</f>
        <v>0</v>
      </c>
      <c r="D4" s="448">
        <f>huishoudens!D8</f>
        <v>19000.519586180002</v>
      </c>
      <c r="E4" s="448">
        <f>huishoudens!E8</f>
        <v>1505.4189942686603</v>
      </c>
      <c r="F4" s="448">
        <f>huishoudens!F8</f>
        <v>24269.360619582749</v>
      </c>
      <c r="G4" s="448">
        <f>huishoudens!G8</f>
        <v>0</v>
      </c>
      <c r="H4" s="448">
        <f>huishoudens!H8</f>
        <v>0</v>
      </c>
      <c r="I4" s="448">
        <f>huishoudens!I8</f>
        <v>0</v>
      </c>
      <c r="J4" s="448">
        <f>huishoudens!J8</f>
        <v>96.955025683849897</v>
      </c>
      <c r="K4" s="448">
        <f>huishoudens!K8</f>
        <v>0</v>
      </c>
      <c r="L4" s="448">
        <f>huishoudens!L8</f>
        <v>0</v>
      </c>
      <c r="M4" s="448">
        <f>huishoudens!M8</f>
        <v>0</v>
      </c>
      <c r="N4" s="448">
        <f>huishoudens!N8</f>
        <v>4637.6452754744587</v>
      </c>
      <c r="O4" s="448">
        <f>huishoudens!O8</f>
        <v>325.36914797947321</v>
      </c>
      <c r="P4" s="449">
        <f>huishoudens!P8</f>
        <v>168.54334892296038</v>
      </c>
      <c r="Q4" s="450">
        <f>SUM(B4:P4)</f>
        <v>63335.660658476532</v>
      </c>
    </row>
    <row r="5" spans="1:17">
      <c r="A5" s="447" t="s">
        <v>155</v>
      </c>
      <c r="B5" s="448">
        <f ca="1">tertiair!B16</f>
        <v>9341.4776740000016</v>
      </c>
      <c r="C5" s="448">
        <f ca="1">tertiair!C16</f>
        <v>0</v>
      </c>
      <c r="D5" s="448">
        <f ca="1">tertiair!D16</f>
        <v>9223.9198745980011</v>
      </c>
      <c r="E5" s="448">
        <f>tertiair!E16</f>
        <v>146.88759000217851</v>
      </c>
      <c r="F5" s="448">
        <f ca="1">tertiair!F16</f>
        <v>1047.4863026544267</v>
      </c>
      <c r="G5" s="448">
        <f>tertiair!G16</f>
        <v>0</v>
      </c>
      <c r="H5" s="448">
        <f>tertiair!H16</f>
        <v>0</v>
      </c>
      <c r="I5" s="448">
        <f>tertiair!I16</f>
        <v>0</v>
      </c>
      <c r="J5" s="448">
        <f>tertiair!J16</f>
        <v>1.2764318450870959E-2</v>
      </c>
      <c r="K5" s="448">
        <f>tertiair!K16</f>
        <v>0</v>
      </c>
      <c r="L5" s="448">
        <f ca="1">tertiair!L16</f>
        <v>0</v>
      </c>
      <c r="M5" s="448">
        <f>tertiair!M16</f>
        <v>0</v>
      </c>
      <c r="N5" s="448">
        <f ca="1">tertiair!N16</f>
        <v>503.70781504139171</v>
      </c>
      <c r="O5" s="448">
        <f>tertiair!O16</f>
        <v>4.8972607658411542</v>
      </c>
      <c r="P5" s="449">
        <f>tertiair!P16</f>
        <v>52.539138306495019</v>
      </c>
      <c r="Q5" s="447">
        <f t="shared" ref="Q5:Q14" ca="1" si="0">SUM(B5:P5)</f>
        <v>20320.928419686785</v>
      </c>
    </row>
    <row r="6" spans="1:17">
      <c r="A6" s="447" t="s">
        <v>193</v>
      </c>
      <c r="B6" s="448">
        <f>'openbare verlichting'!B8</f>
        <v>720.57600000000002</v>
      </c>
      <c r="C6" s="448"/>
      <c r="D6" s="448"/>
      <c r="E6" s="448"/>
      <c r="F6" s="448"/>
      <c r="G6" s="448"/>
      <c r="H6" s="448"/>
      <c r="I6" s="448"/>
      <c r="J6" s="448"/>
      <c r="K6" s="448"/>
      <c r="L6" s="448"/>
      <c r="M6" s="448"/>
      <c r="N6" s="448"/>
      <c r="O6" s="448"/>
      <c r="P6" s="449"/>
      <c r="Q6" s="447">
        <f t="shared" si="0"/>
        <v>720.57600000000002</v>
      </c>
    </row>
    <row r="7" spans="1:17">
      <c r="A7" s="447" t="s">
        <v>111</v>
      </c>
      <c r="B7" s="448">
        <f>landbouw!B8</f>
        <v>4607.5502100000003</v>
      </c>
      <c r="C7" s="448">
        <f>landbouw!C8</f>
        <v>9530.3571428571431</v>
      </c>
      <c r="D7" s="448">
        <f>landbouw!D8</f>
        <v>3084.9947920857121</v>
      </c>
      <c r="E7" s="448">
        <f>landbouw!E8</f>
        <v>143.80012267148379</v>
      </c>
      <c r="F7" s="448">
        <f>landbouw!F8</f>
        <v>16283.592852783431</v>
      </c>
      <c r="G7" s="448">
        <f>landbouw!G8</f>
        <v>0</v>
      </c>
      <c r="H7" s="448">
        <f>landbouw!H8</f>
        <v>0</v>
      </c>
      <c r="I7" s="448">
        <f>landbouw!I8</f>
        <v>0</v>
      </c>
      <c r="J7" s="448">
        <f>landbouw!J8</f>
        <v>1269.4120359356718</v>
      </c>
      <c r="K7" s="448">
        <f>landbouw!K8</f>
        <v>0</v>
      </c>
      <c r="L7" s="448">
        <f>landbouw!L8</f>
        <v>0</v>
      </c>
      <c r="M7" s="448">
        <f>landbouw!M8</f>
        <v>0</v>
      </c>
      <c r="N7" s="448">
        <f>landbouw!N8</f>
        <v>0</v>
      </c>
      <c r="O7" s="448">
        <f>landbouw!O8</f>
        <v>0</v>
      </c>
      <c r="P7" s="449">
        <f>landbouw!P8</f>
        <v>0</v>
      </c>
      <c r="Q7" s="447">
        <f t="shared" si="0"/>
        <v>34919.707156333447</v>
      </c>
    </row>
    <row r="8" spans="1:17">
      <c r="A8" s="447" t="s">
        <v>618</v>
      </c>
      <c r="B8" s="448">
        <f>industrie!B18</f>
        <v>53244.526238999999</v>
      </c>
      <c r="C8" s="448">
        <f>industrie!C18</f>
        <v>0</v>
      </c>
      <c r="D8" s="448">
        <f>industrie!D18</f>
        <v>15854.124933261999</v>
      </c>
      <c r="E8" s="448">
        <f>industrie!E18</f>
        <v>860.87556299448136</v>
      </c>
      <c r="F8" s="448">
        <f>industrie!F18</f>
        <v>4972.433745540854</v>
      </c>
      <c r="G8" s="448">
        <f>industrie!G18</f>
        <v>0</v>
      </c>
      <c r="H8" s="448">
        <f>industrie!H18</f>
        <v>0</v>
      </c>
      <c r="I8" s="448">
        <f>industrie!I18</f>
        <v>0</v>
      </c>
      <c r="J8" s="448">
        <f>industrie!J18</f>
        <v>118.74880414817787</v>
      </c>
      <c r="K8" s="448">
        <f>industrie!K18</f>
        <v>0</v>
      </c>
      <c r="L8" s="448">
        <f>industrie!L18</f>
        <v>0</v>
      </c>
      <c r="M8" s="448">
        <f>industrie!M18</f>
        <v>0</v>
      </c>
      <c r="N8" s="448">
        <f>industrie!N18</f>
        <v>2830.0944170878183</v>
      </c>
      <c r="O8" s="448">
        <f>industrie!O18</f>
        <v>0</v>
      </c>
      <c r="P8" s="449">
        <f>industrie!P18</f>
        <v>0</v>
      </c>
      <c r="Q8" s="447">
        <f t="shared" si="0"/>
        <v>77880.803702033343</v>
      </c>
    </row>
    <row r="9" spans="1:17" s="453" customFormat="1">
      <c r="A9" s="451" t="s">
        <v>544</v>
      </c>
      <c r="B9" s="452">
        <f>transport!B14</f>
        <v>59.943138868027042</v>
      </c>
      <c r="C9" s="452">
        <f>transport!C14</f>
        <v>0</v>
      </c>
      <c r="D9" s="452">
        <f>transport!D14</f>
        <v>113.35107058625948</v>
      </c>
      <c r="E9" s="452">
        <f>transport!E14</f>
        <v>97.489746442473702</v>
      </c>
      <c r="F9" s="452">
        <f>transport!F14</f>
        <v>0</v>
      </c>
      <c r="G9" s="452">
        <f>transport!G14</f>
        <v>42621.076099763101</v>
      </c>
      <c r="H9" s="452">
        <f>transport!H14</f>
        <v>10041.058116067266</v>
      </c>
      <c r="I9" s="452">
        <f>transport!I14</f>
        <v>0</v>
      </c>
      <c r="J9" s="452">
        <f>transport!J14</f>
        <v>0</v>
      </c>
      <c r="K9" s="452">
        <f>transport!K14</f>
        <v>0</v>
      </c>
      <c r="L9" s="452">
        <f>transport!L14</f>
        <v>0</v>
      </c>
      <c r="M9" s="452">
        <f>transport!M14</f>
        <v>3121.5770600150909</v>
      </c>
      <c r="N9" s="452">
        <f>transport!N14</f>
        <v>0</v>
      </c>
      <c r="O9" s="452">
        <f>transport!O14</f>
        <v>0</v>
      </c>
      <c r="P9" s="452">
        <f>transport!P14</f>
        <v>0</v>
      </c>
      <c r="Q9" s="451">
        <f>SUM(B9:P9)</f>
        <v>56054.495231742221</v>
      </c>
    </row>
    <row r="10" spans="1:17">
      <c r="A10" s="447" t="s">
        <v>534</v>
      </c>
      <c r="B10" s="448">
        <f>transport!B54</f>
        <v>12.72752768850628</v>
      </c>
      <c r="C10" s="448">
        <f>transport!C54</f>
        <v>0</v>
      </c>
      <c r="D10" s="448">
        <f>transport!D54</f>
        <v>0</v>
      </c>
      <c r="E10" s="448">
        <f>transport!E54</f>
        <v>0</v>
      </c>
      <c r="F10" s="448">
        <f>transport!F54</f>
        <v>0</v>
      </c>
      <c r="G10" s="448">
        <f>transport!G54</f>
        <v>922.12855030875312</v>
      </c>
      <c r="H10" s="448">
        <f>transport!H54</f>
        <v>0</v>
      </c>
      <c r="I10" s="448">
        <f>transport!I54</f>
        <v>0</v>
      </c>
      <c r="J10" s="448">
        <f>transport!J54</f>
        <v>0</v>
      </c>
      <c r="K10" s="448">
        <f>transport!K54</f>
        <v>0</v>
      </c>
      <c r="L10" s="448">
        <f>transport!L54</f>
        <v>0</v>
      </c>
      <c r="M10" s="448">
        <f>transport!M54</f>
        <v>52.158336905251637</v>
      </c>
      <c r="N10" s="448">
        <f>transport!N54</f>
        <v>0</v>
      </c>
      <c r="O10" s="448">
        <f>transport!O54</f>
        <v>0</v>
      </c>
      <c r="P10" s="449">
        <f>transport!P54</f>
        <v>0</v>
      </c>
      <c r="Q10" s="447">
        <f t="shared" si="0"/>
        <v>987.01441490251102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322.73944799999998</v>
      </c>
      <c r="C14" s="455"/>
      <c r="D14" s="455">
        <f>'SEAP template'!E25</f>
        <v>539.63124100000005</v>
      </c>
      <c r="E14" s="455"/>
      <c r="F14" s="455"/>
      <c r="G14" s="455"/>
      <c r="H14" s="455"/>
      <c r="I14" s="455"/>
      <c r="J14" s="455"/>
      <c r="K14" s="455"/>
      <c r="L14" s="455"/>
      <c r="M14" s="455"/>
      <c r="N14" s="455"/>
      <c r="O14" s="455"/>
      <c r="P14" s="456"/>
      <c r="Q14" s="447">
        <f t="shared" si="0"/>
        <v>862.37068900000008</v>
      </c>
    </row>
    <row r="15" spans="1:17" s="459" customFormat="1">
      <c r="A15" s="457" t="s">
        <v>538</v>
      </c>
      <c r="B15" s="458">
        <f ca="1">SUM(B4:B14)</f>
        <v>81641.388897940895</v>
      </c>
      <c r="C15" s="458">
        <f t="shared" ref="C15:Q15" ca="1" si="1">SUM(C4:C14)</f>
        <v>9530.3571428571431</v>
      </c>
      <c r="D15" s="458">
        <f t="shared" ca="1" si="1"/>
        <v>47816.541497711973</v>
      </c>
      <c r="E15" s="458">
        <f t="shared" si="1"/>
        <v>2754.4720163792776</v>
      </c>
      <c r="F15" s="458">
        <f t="shared" ca="1" si="1"/>
        <v>46572.873520561458</v>
      </c>
      <c r="G15" s="458">
        <f t="shared" si="1"/>
        <v>43543.204650071857</v>
      </c>
      <c r="H15" s="458">
        <f t="shared" si="1"/>
        <v>10041.058116067266</v>
      </c>
      <c r="I15" s="458">
        <f t="shared" si="1"/>
        <v>0</v>
      </c>
      <c r="J15" s="458">
        <f t="shared" si="1"/>
        <v>1485.1286300861505</v>
      </c>
      <c r="K15" s="458">
        <f t="shared" si="1"/>
        <v>0</v>
      </c>
      <c r="L15" s="458">
        <f t="shared" ca="1" si="1"/>
        <v>0</v>
      </c>
      <c r="M15" s="458">
        <f t="shared" si="1"/>
        <v>3173.7353969203423</v>
      </c>
      <c r="N15" s="458">
        <f t="shared" ca="1" si="1"/>
        <v>7971.4475076036688</v>
      </c>
      <c r="O15" s="458">
        <f t="shared" si="1"/>
        <v>330.26640874531438</v>
      </c>
      <c r="P15" s="458">
        <f t="shared" si="1"/>
        <v>221.08248722945541</v>
      </c>
      <c r="Q15" s="458">
        <f t="shared" ca="1" si="1"/>
        <v>255081.55627217484</v>
      </c>
    </row>
    <row r="17" spans="1:17">
      <c r="A17" s="460" t="s">
        <v>539</v>
      </c>
      <c r="B17" s="776">
        <f ca="1">huishoudens!B10</f>
        <v>0.21081141164353467</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2810.5058359135974</v>
      </c>
      <c r="C22" s="448">
        <f t="shared" ref="C22:C32" ca="1" si="3">C4*$C$17</f>
        <v>0</v>
      </c>
      <c r="D22" s="448">
        <f t="shared" ref="D22:D32" si="4">D4*$D$17</f>
        <v>3838.1049564083605</v>
      </c>
      <c r="E22" s="448">
        <f t="shared" ref="E22:E32" si="5">E4*$E$17</f>
        <v>341.73011169898592</v>
      </c>
      <c r="F22" s="448">
        <f t="shared" ref="F22:F32" si="6">F4*$F$17</f>
        <v>6479.9192854285939</v>
      </c>
      <c r="G22" s="448">
        <f t="shared" ref="G22:G32" si="7">G4*$G$17</f>
        <v>0</v>
      </c>
      <c r="H22" s="448">
        <f t="shared" ref="H22:H32" si="8">H4*$H$17</f>
        <v>0</v>
      </c>
      <c r="I22" s="448">
        <f t="shared" ref="I22:I32" si="9">I4*$I$17</f>
        <v>0</v>
      </c>
      <c r="J22" s="448">
        <f t="shared" ref="J22:J32" si="10">J4*$J$17</f>
        <v>34.322079092082859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13504.582268541621</v>
      </c>
    </row>
    <row r="23" spans="1:17">
      <c r="A23" s="447" t="s">
        <v>155</v>
      </c>
      <c r="B23" s="448">
        <f t="shared" ca="1" si="2"/>
        <v>1969.2900952925031</v>
      </c>
      <c r="C23" s="448">
        <f t="shared" ca="1" si="3"/>
        <v>0</v>
      </c>
      <c r="D23" s="448">
        <f t="shared" ca="1" si="4"/>
        <v>1863.2318146687962</v>
      </c>
      <c r="E23" s="448">
        <f t="shared" si="5"/>
        <v>33.343482930494524</v>
      </c>
      <c r="F23" s="448">
        <f t="shared" ca="1" si="6"/>
        <v>279.67884280873193</v>
      </c>
      <c r="G23" s="448">
        <f t="shared" si="7"/>
        <v>0</v>
      </c>
      <c r="H23" s="448">
        <f t="shared" si="8"/>
        <v>0</v>
      </c>
      <c r="I23" s="448">
        <f t="shared" si="9"/>
        <v>0</v>
      </c>
      <c r="J23" s="448">
        <f t="shared" si="10"/>
        <v>4.5185687316083188E-3</v>
      </c>
      <c r="K23" s="448">
        <f t="shared" si="11"/>
        <v>0</v>
      </c>
      <c r="L23" s="448">
        <f t="shared" ca="1" si="12"/>
        <v>0</v>
      </c>
      <c r="M23" s="448">
        <f t="shared" si="13"/>
        <v>0</v>
      </c>
      <c r="N23" s="448">
        <f t="shared" ca="1" si="14"/>
        <v>0</v>
      </c>
      <c r="O23" s="448">
        <f t="shared" si="15"/>
        <v>0</v>
      </c>
      <c r="P23" s="449">
        <f t="shared" si="16"/>
        <v>0</v>
      </c>
      <c r="Q23" s="447">
        <f t="shared" ref="Q23:Q31" ca="1" si="17">SUM(B23:P23)</f>
        <v>4145.5487542692572</v>
      </c>
    </row>
    <row r="24" spans="1:17">
      <c r="A24" s="447" t="s">
        <v>193</v>
      </c>
      <c r="B24" s="448">
        <f t="shared" ca="1" si="2"/>
        <v>151.90564375645164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151.90564375645164</v>
      </c>
    </row>
    <row r="25" spans="1:17">
      <c r="A25" s="447" t="s">
        <v>111</v>
      </c>
      <c r="B25" s="448">
        <f t="shared" ca="1" si="2"/>
        <v>971.32416398856469</v>
      </c>
      <c r="C25" s="448">
        <f t="shared" ca="1" si="3"/>
        <v>2264.8613445378155</v>
      </c>
      <c r="D25" s="448">
        <f t="shared" si="4"/>
        <v>623.16894800131388</v>
      </c>
      <c r="E25" s="448">
        <f t="shared" si="5"/>
        <v>32.642627846426819</v>
      </c>
      <c r="F25" s="448">
        <f t="shared" si="6"/>
        <v>4347.7192916931763</v>
      </c>
      <c r="G25" s="448">
        <f t="shared" si="7"/>
        <v>0</v>
      </c>
      <c r="H25" s="448">
        <f t="shared" si="8"/>
        <v>0</v>
      </c>
      <c r="I25" s="448">
        <f t="shared" si="9"/>
        <v>0</v>
      </c>
      <c r="J25" s="448">
        <f t="shared" si="10"/>
        <v>449.37186072122779</v>
      </c>
      <c r="K25" s="448">
        <f t="shared" si="11"/>
        <v>0</v>
      </c>
      <c r="L25" s="448">
        <f t="shared" si="12"/>
        <v>0</v>
      </c>
      <c r="M25" s="448">
        <f t="shared" si="13"/>
        <v>0</v>
      </c>
      <c r="N25" s="448">
        <f t="shared" si="14"/>
        <v>0</v>
      </c>
      <c r="O25" s="448">
        <f t="shared" si="15"/>
        <v>0</v>
      </c>
      <c r="P25" s="449">
        <f t="shared" si="16"/>
        <v>0</v>
      </c>
      <c r="Q25" s="447">
        <f t="shared" ca="1" si="17"/>
        <v>8689.088236788526</v>
      </c>
    </row>
    <row r="26" spans="1:17">
      <c r="A26" s="447" t="s">
        <v>618</v>
      </c>
      <c r="B26" s="448">
        <f t="shared" ca="1" si="2"/>
        <v>11224.553738734812</v>
      </c>
      <c r="C26" s="448">
        <f t="shared" ca="1" si="3"/>
        <v>0</v>
      </c>
      <c r="D26" s="448">
        <f t="shared" si="4"/>
        <v>3202.5332365189242</v>
      </c>
      <c r="E26" s="448">
        <f t="shared" si="5"/>
        <v>195.41875279974727</v>
      </c>
      <c r="F26" s="448">
        <f t="shared" si="6"/>
        <v>1327.6398100594081</v>
      </c>
      <c r="G26" s="448">
        <f t="shared" si="7"/>
        <v>0</v>
      </c>
      <c r="H26" s="448">
        <f t="shared" si="8"/>
        <v>0</v>
      </c>
      <c r="I26" s="448">
        <f t="shared" si="9"/>
        <v>0</v>
      </c>
      <c r="J26" s="448">
        <f t="shared" si="10"/>
        <v>42.037076668454965</v>
      </c>
      <c r="K26" s="448">
        <f t="shared" si="11"/>
        <v>0</v>
      </c>
      <c r="L26" s="448">
        <f t="shared" si="12"/>
        <v>0</v>
      </c>
      <c r="M26" s="448">
        <f t="shared" si="13"/>
        <v>0</v>
      </c>
      <c r="N26" s="448">
        <f t="shared" si="14"/>
        <v>0</v>
      </c>
      <c r="O26" s="448">
        <f t="shared" si="15"/>
        <v>0</v>
      </c>
      <c r="P26" s="449">
        <f t="shared" si="16"/>
        <v>0</v>
      </c>
      <c r="Q26" s="447">
        <f t="shared" ca="1" si="17"/>
        <v>15992.182614781348</v>
      </c>
    </row>
    <row r="27" spans="1:17" s="453" customFormat="1">
      <c r="A27" s="451" t="s">
        <v>544</v>
      </c>
      <c r="B27" s="770">
        <f t="shared" ca="1" si="2"/>
        <v>12.636697723113212</v>
      </c>
      <c r="C27" s="452">
        <f t="shared" ca="1" si="3"/>
        <v>0</v>
      </c>
      <c r="D27" s="452">
        <f t="shared" si="4"/>
        <v>22.896916258424415</v>
      </c>
      <c r="E27" s="452">
        <f t="shared" si="5"/>
        <v>22.13017244244153</v>
      </c>
      <c r="F27" s="452">
        <f t="shared" si="6"/>
        <v>0</v>
      </c>
      <c r="G27" s="452">
        <f t="shared" si="7"/>
        <v>11379.827318636748</v>
      </c>
      <c r="H27" s="452">
        <f t="shared" si="8"/>
        <v>2500.2234709007494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13937.714575961476</v>
      </c>
    </row>
    <row r="28" spans="1:17" ht="16.5" customHeight="1">
      <c r="A28" s="447" t="s">
        <v>534</v>
      </c>
      <c r="B28" s="448">
        <f t="shared" ca="1" si="2"/>
        <v>2.6831080787461827</v>
      </c>
      <c r="C28" s="448">
        <f t="shared" ca="1" si="3"/>
        <v>0</v>
      </c>
      <c r="D28" s="448">
        <f t="shared" si="4"/>
        <v>0</v>
      </c>
      <c r="E28" s="448">
        <f t="shared" si="5"/>
        <v>0</v>
      </c>
      <c r="F28" s="448">
        <f t="shared" si="6"/>
        <v>0</v>
      </c>
      <c r="G28" s="448">
        <f t="shared" si="7"/>
        <v>246.20832293243708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248.89143101118327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68.037158625935149</v>
      </c>
      <c r="C32" s="448">
        <f t="shared" ca="1" si="3"/>
        <v>0</v>
      </c>
      <c r="D32" s="448">
        <f t="shared" si="4"/>
        <v>109.00551068200002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177.04266930793517</v>
      </c>
    </row>
    <row r="33" spans="1:17" s="459" customFormat="1">
      <c r="A33" s="457" t="s">
        <v>538</v>
      </c>
      <c r="B33" s="458">
        <f ca="1">SUM(B22:B32)</f>
        <v>17210.936442113722</v>
      </c>
      <c r="C33" s="458">
        <f t="shared" ref="C33:Q33" ca="1" si="19">SUM(C22:C32)</f>
        <v>2264.8613445378155</v>
      </c>
      <c r="D33" s="458">
        <f t="shared" ca="1" si="19"/>
        <v>9658.9413825378178</v>
      </c>
      <c r="E33" s="458">
        <f t="shared" si="19"/>
        <v>625.26514771809616</v>
      </c>
      <c r="F33" s="458">
        <f t="shared" ca="1" si="19"/>
        <v>12434.957229989912</v>
      </c>
      <c r="G33" s="458">
        <f t="shared" si="19"/>
        <v>11626.035641569184</v>
      </c>
      <c r="H33" s="458">
        <f t="shared" si="19"/>
        <v>2500.2234709007494</v>
      </c>
      <c r="I33" s="458">
        <f t="shared" si="19"/>
        <v>0</v>
      </c>
      <c r="J33" s="458">
        <f t="shared" si="19"/>
        <v>525.73553505049722</v>
      </c>
      <c r="K33" s="458">
        <f t="shared" si="19"/>
        <v>0</v>
      </c>
      <c r="L33" s="458">
        <f t="shared" ca="1" si="19"/>
        <v>0</v>
      </c>
      <c r="M33" s="458">
        <f t="shared" si="19"/>
        <v>0</v>
      </c>
      <c r="N33" s="458">
        <f t="shared" ca="1" si="19"/>
        <v>0</v>
      </c>
      <c r="O33" s="458">
        <f t="shared" si="19"/>
        <v>0</v>
      </c>
      <c r="P33" s="458">
        <f t="shared" si="19"/>
        <v>0</v>
      </c>
      <c r="Q33" s="458">
        <f t="shared" ca="1" si="19"/>
        <v>56846.956194417799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4266.3674004872892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6671.25</v>
      </c>
      <c r="D8" s="1021">
        <f>'SEAP template'!D76</f>
        <v>7848.5294117647054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1585.4029411764707</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4266.3674004872892</v>
      </c>
      <c r="C10" s="1023">
        <f>SUM(C4:C9)</f>
        <v>6671.25</v>
      </c>
      <c r="D10" s="1023">
        <f t="shared" ref="D10:H10" si="0">SUM(D8:D9)</f>
        <v>7848.5294117647054</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1585.4029411764707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0.21081141164353467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9530.3571428571431</v>
      </c>
      <c r="D17" s="1022">
        <f>'SEAP template'!D87</f>
        <v>11212.18487394958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2264.8613445378155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9530.3571428571431</v>
      </c>
      <c r="D20" s="1023">
        <f t="shared" ref="D20:H20" si="2">SUM(D17:D19)</f>
        <v>11212.18487394958</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2264.8613445378155</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0.21081141164353467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0.21081141164353467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0.21081141164353467</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3192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4219.45</v>
      </c>
      <c r="C14" s="326"/>
      <c r="D14" s="326"/>
      <c r="E14" s="326"/>
      <c r="F14" s="326"/>
    </row>
    <row r="15" spans="1:6">
      <c r="A15" s="1298" t="s">
        <v>183</v>
      </c>
      <c r="B15" s="1299">
        <v>945</v>
      </c>
      <c r="C15" s="326"/>
      <c r="D15" s="326"/>
      <c r="E15" s="326"/>
      <c r="F15" s="326"/>
    </row>
    <row r="16" spans="1:6">
      <c r="A16" s="1298" t="s">
        <v>6</v>
      </c>
      <c r="B16" s="1299">
        <v>1389</v>
      </c>
      <c r="C16" s="326"/>
      <c r="D16" s="326"/>
      <c r="E16" s="326"/>
      <c r="F16" s="326"/>
    </row>
    <row r="17" spans="1:6">
      <c r="A17" s="1298" t="s">
        <v>7</v>
      </c>
      <c r="B17" s="1299">
        <v>1393</v>
      </c>
      <c r="C17" s="326"/>
      <c r="D17" s="326"/>
      <c r="E17" s="326"/>
      <c r="F17" s="326"/>
    </row>
    <row r="18" spans="1:6">
      <c r="A18" s="1298" t="s">
        <v>8</v>
      </c>
      <c r="B18" s="1299">
        <v>1899</v>
      </c>
      <c r="C18" s="326"/>
      <c r="D18" s="326"/>
      <c r="E18" s="326"/>
      <c r="F18" s="326"/>
    </row>
    <row r="19" spans="1:6">
      <c r="A19" s="1298" t="s">
        <v>9</v>
      </c>
      <c r="B19" s="1299">
        <v>2408</v>
      </c>
      <c r="C19" s="326"/>
      <c r="D19" s="326"/>
      <c r="E19" s="326"/>
      <c r="F19" s="326"/>
    </row>
    <row r="20" spans="1:6">
      <c r="A20" s="1298" t="s">
        <v>10</v>
      </c>
      <c r="B20" s="1299">
        <v>1113</v>
      </c>
      <c r="C20" s="326"/>
      <c r="D20" s="326"/>
      <c r="E20" s="326"/>
      <c r="F20" s="326"/>
    </row>
    <row r="21" spans="1:6">
      <c r="A21" s="1298" t="s">
        <v>11</v>
      </c>
      <c r="B21" s="1299">
        <v>15545</v>
      </c>
      <c r="C21" s="326"/>
      <c r="D21" s="326"/>
      <c r="E21" s="326"/>
      <c r="F21" s="326"/>
    </row>
    <row r="22" spans="1:6">
      <c r="A22" s="1298" t="s">
        <v>12</v>
      </c>
      <c r="B22" s="1299">
        <v>68259</v>
      </c>
      <c r="C22" s="326"/>
      <c r="D22" s="326"/>
      <c r="E22" s="326"/>
      <c r="F22" s="326"/>
    </row>
    <row r="23" spans="1:6">
      <c r="A23" s="1298" t="s">
        <v>13</v>
      </c>
      <c r="B23" s="1299">
        <v>721</v>
      </c>
      <c r="C23" s="326"/>
      <c r="D23" s="326"/>
      <c r="E23" s="326"/>
      <c r="F23" s="326"/>
    </row>
    <row r="24" spans="1:6">
      <c r="A24" s="1298" t="s">
        <v>14</v>
      </c>
      <c r="B24" s="1299">
        <v>30</v>
      </c>
      <c r="C24" s="326"/>
      <c r="D24" s="326"/>
      <c r="E24" s="326"/>
      <c r="F24" s="326"/>
    </row>
    <row r="25" spans="1:6">
      <c r="A25" s="1298" t="s">
        <v>15</v>
      </c>
      <c r="B25" s="1299">
        <v>3857</v>
      </c>
      <c r="C25" s="326"/>
      <c r="D25" s="326"/>
      <c r="E25" s="326"/>
      <c r="F25" s="326"/>
    </row>
    <row r="26" spans="1:6">
      <c r="A26" s="1298" t="s">
        <v>16</v>
      </c>
      <c r="B26" s="1299">
        <v>366</v>
      </c>
      <c r="C26" s="326"/>
      <c r="D26" s="326"/>
      <c r="E26" s="326"/>
      <c r="F26" s="326"/>
    </row>
    <row r="27" spans="1:6">
      <c r="A27" s="1298" t="s">
        <v>17</v>
      </c>
      <c r="B27" s="1299">
        <v>30</v>
      </c>
      <c r="C27" s="326"/>
      <c r="D27" s="326"/>
      <c r="E27" s="326"/>
      <c r="F27" s="326"/>
    </row>
    <row r="28" spans="1:6" s="43" customFormat="1">
      <c r="A28" s="1300" t="s">
        <v>18</v>
      </c>
      <c r="B28" s="1301">
        <v>596165</v>
      </c>
      <c r="C28" s="332"/>
      <c r="D28" s="332"/>
      <c r="E28" s="332"/>
      <c r="F28" s="332"/>
    </row>
    <row r="29" spans="1:6">
      <c r="A29" s="1300" t="s">
        <v>695</v>
      </c>
      <c r="B29" s="1301">
        <v>150</v>
      </c>
      <c r="C29" s="332"/>
      <c r="D29" s="332"/>
      <c r="E29" s="332"/>
      <c r="F29" s="332"/>
    </row>
    <row r="30" spans="1:6">
      <c r="A30" s="1293" t="s">
        <v>696</v>
      </c>
      <c r="B30" s="1302">
        <v>14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12466.231</v>
      </c>
    </row>
    <row r="39" spans="1:6">
      <c r="A39" s="1298" t="s">
        <v>29</v>
      </c>
      <c r="B39" s="1298" t="s">
        <v>30</v>
      </c>
      <c r="C39" s="1299">
        <v>1506</v>
      </c>
      <c r="D39" s="1299">
        <v>21064877.59</v>
      </c>
      <c r="E39" s="1299">
        <v>2905</v>
      </c>
      <c r="F39" s="1299">
        <v>10454865.09</v>
      </c>
    </row>
    <row r="40" spans="1:6">
      <c r="A40" s="1298" t="s">
        <v>29</v>
      </c>
      <c r="B40" s="1298" t="s">
        <v>28</v>
      </c>
      <c r="C40" s="1299">
        <v>0</v>
      </c>
      <c r="D40" s="1299">
        <v>0</v>
      </c>
      <c r="E40" s="1299">
        <v>0</v>
      </c>
      <c r="F40" s="1299">
        <v>0</v>
      </c>
    </row>
    <row r="41" spans="1:6">
      <c r="A41" s="1298" t="s">
        <v>31</v>
      </c>
      <c r="B41" s="1298" t="s">
        <v>32</v>
      </c>
      <c r="C41" s="1299">
        <v>20</v>
      </c>
      <c r="D41" s="1299">
        <v>340519.73100000003</v>
      </c>
      <c r="E41" s="1299">
        <v>85</v>
      </c>
      <c r="F41" s="1299">
        <v>419513.43699999998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9218.4660000000003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4617.1360000000004</v>
      </c>
    </row>
    <row r="48" spans="1:6">
      <c r="A48" s="1298" t="s">
        <v>31</v>
      </c>
      <c r="B48" s="1298" t="s">
        <v>28</v>
      </c>
      <c r="C48" s="1299">
        <v>13</v>
      </c>
      <c r="D48" s="1299">
        <v>17236115.449999999</v>
      </c>
      <c r="E48" s="1299">
        <v>30</v>
      </c>
      <c r="F48" s="1299">
        <v>14311988.369999999</v>
      </c>
    </row>
    <row r="49" spans="1:6">
      <c r="A49" s="1298" t="s">
        <v>31</v>
      </c>
      <c r="B49" s="1298" t="s">
        <v>39</v>
      </c>
      <c r="C49" s="1299">
        <v>0</v>
      </c>
      <c r="D49" s="1299">
        <v>0</v>
      </c>
      <c r="E49" s="1299">
        <v>0</v>
      </c>
      <c r="F49" s="1299">
        <v>0</v>
      </c>
    </row>
    <row r="50" spans="1:6">
      <c r="A50" s="1298" t="s">
        <v>31</v>
      </c>
      <c r="B50" s="1298" t="s">
        <v>40</v>
      </c>
      <c r="C50" s="1299">
        <v>0</v>
      </c>
      <c r="D50" s="1299">
        <v>0</v>
      </c>
      <c r="E50" s="1299">
        <v>11</v>
      </c>
      <c r="F50" s="1299">
        <v>38499188.829999998</v>
      </c>
    </row>
    <row r="51" spans="1:6">
      <c r="A51" s="1298" t="s">
        <v>41</v>
      </c>
      <c r="B51" s="1298" t="s">
        <v>42</v>
      </c>
      <c r="C51" s="1299">
        <v>15</v>
      </c>
      <c r="D51" s="1299">
        <v>24551783.899999999</v>
      </c>
      <c r="E51" s="1299">
        <v>195</v>
      </c>
      <c r="F51" s="1299">
        <v>4561256.2039999999</v>
      </c>
    </row>
    <row r="52" spans="1:6">
      <c r="A52" s="1298" t="s">
        <v>41</v>
      </c>
      <c r="B52" s="1298" t="s">
        <v>28</v>
      </c>
      <c r="C52" s="1299">
        <v>0</v>
      </c>
      <c r="D52" s="1299">
        <v>0</v>
      </c>
      <c r="E52" s="1299">
        <v>5</v>
      </c>
      <c r="F52" s="1299">
        <v>46294.006000000001</v>
      </c>
    </row>
    <row r="53" spans="1:6">
      <c r="A53" s="1298" t="s">
        <v>43</v>
      </c>
      <c r="B53" s="1298" t="s">
        <v>44</v>
      </c>
      <c r="C53" s="1299">
        <v>37</v>
      </c>
      <c r="D53" s="1299">
        <v>539631.24100000004</v>
      </c>
      <c r="E53" s="1299">
        <v>93</v>
      </c>
      <c r="F53" s="1299">
        <v>322739.44799999997</v>
      </c>
    </row>
    <row r="54" spans="1:6">
      <c r="A54" s="1298" t="s">
        <v>45</v>
      </c>
      <c r="B54" s="1298" t="s">
        <v>46</v>
      </c>
      <c r="C54" s="1299">
        <v>0</v>
      </c>
      <c r="D54" s="1299">
        <v>0</v>
      </c>
      <c r="E54" s="1299">
        <v>1</v>
      </c>
      <c r="F54" s="1299">
        <v>720576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125696.90300000001</v>
      </c>
      <c r="E57" s="1299">
        <v>33</v>
      </c>
      <c r="F57" s="1299">
        <v>353191.49599999998</v>
      </c>
    </row>
    <row r="58" spans="1:6">
      <c r="A58" s="1298" t="s">
        <v>48</v>
      </c>
      <c r="B58" s="1298" t="s">
        <v>50</v>
      </c>
      <c r="C58" s="1299">
        <v>5</v>
      </c>
      <c r="D58" s="1299">
        <v>112390.552</v>
      </c>
      <c r="E58" s="1299">
        <v>10</v>
      </c>
      <c r="F58" s="1299">
        <v>39258.618999999999</v>
      </c>
    </row>
    <row r="59" spans="1:6">
      <c r="A59" s="1298" t="s">
        <v>48</v>
      </c>
      <c r="B59" s="1298" t="s">
        <v>51</v>
      </c>
      <c r="C59" s="1299">
        <v>12</v>
      </c>
      <c r="D59" s="1299">
        <v>1839056.656</v>
      </c>
      <c r="E59" s="1299">
        <v>86</v>
      </c>
      <c r="F59" s="1299">
        <v>2870919.87</v>
      </c>
    </row>
    <row r="60" spans="1:6">
      <c r="A60" s="1298" t="s">
        <v>48</v>
      </c>
      <c r="B60" s="1298" t="s">
        <v>52</v>
      </c>
      <c r="C60" s="1299">
        <v>23</v>
      </c>
      <c r="D60" s="1299">
        <v>663722.821</v>
      </c>
      <c r="E60" s="1299">
        <v>46</v>
      </c>
      <c r="F60" s="1299">
        <v>749489.44499999995</v>
      </c>
    </row>
    <row r="61" spans="1:6">
      <c r="A61" s="1298" t="s">
        <v>48</v>
      </c>
      <c r="B61" s="1298" t="s">
        <v>53</v>
      </c>
      <c r="C61" s="1299">
        <v>34</v>
      </c>
      <c r="D61" s="1299">
        <v>2213173.855</v>
      </c>
      <c r="E61" s="1299">
        <v>99</v>
      </c>
      <c r="F61" s="1299">
        <v>1732271.2749999999</v>
      </c>
    </row>
    <row r="62" spans="1:6">
      <c r="A62" s="1298" t="s">
        <v>48</v>
      </c>
      <c r="B62" s="1298" t="s">
        <v>54</v>
      </c>
      <c r="C62" s="1299">
        <v>6</v>
      </c>
      <c r="D62" s="1299">
        <v>430532.23300000001</v>
      </c>
      <c r="E62" s="1299">
        <v>6</v>
      </c>
      <c r="F62" s="1299">
        <v>64540.455000000002</v>
      </c>
    </row>
    <row r="63" spans="1:6">
      <c r="A63" s="1298" t="s">
        <v>48</v>
      </c>
      <c r="B63" s="1298" t="s">
        <v>28</v>
      </c>
      <c r="C63" s="1299">
        <v>65</v>
      </c>
      <c r="D63" s="1299">
        <v>4841502.2290000003</v>
      </c>
      <c r="E63" s="1299">
        <v>80</v>
      </c>
      <c r="F63" s="1299">
        <v>3531806.514</v>
      </c>
    </row>
    <row r="64" spans="1:6">
      <c r="A64" s="1298" t="s">
        <v>55</v>
      </c>
      <c r="B64" s="1298" t="s">
        <v>56</v>
      </c>
      <c r="C64" s="1299">
        <v>0</v>
      </c>
      <c r="D64" s="1299">
        <v>0</v>
      </c>
      <c r="E64" s="1299">
        <v>0</v>
      </c>
      <c r="F64" s="1299">
        <v>0</v>
      </c>
    </row>
    <row r="65" spans="1:6">
      <c r="A65" s="1298" t="s">
        <v>55</v>
      </c>
      <c r="B65" s="1298" t="s">
        <v>28</v>
      </c>
      <c r="C65" s="1299">
        <v>1</v>
      </c>
      <c r="D65" s="1299">
        <v>1461.4179999999999</v>
      </c>
      <c r="E65" s="1299">
        <v>2</v>
      </c>
      <c r="F65" s="1299">
        <v>19823.427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25453.489000000001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33043846</v>
      </c>
      <c r="E73" s="446"/>
      <c r="F73" s="326"/>
    </row>
    <row r="74" spans="1:6">
      <c r="A74" s="1298" t="s">
        <v>63</v>
      </c>
      <c r="B74" s="1298" t="s">
        <v>639</v>
      </c>
      <c r="C74" s="1312" t="s">
        <v>641</v>
      </c>
      <c r="D74" s="1313">
        <v>2832554</v>
      </c>
      <c r="E74" s="446"/>
      <c r="F74" s="326"/>
    </row>
    <row r="75" spans="1:6">
      <c r="A75" s="1298" t="s">
        <v>64</v>
      </c>
      <c r="B75" s="1298" t="s">
        <v>638</v>
      </c>
      <c r="C75" s="1312" t="s">
        <v>642</v>
      </c>
      <c r="D75" s="1313">
        <v>23559566</v>
      </c>
      <c r="E75" s="446"/>
      <c r="F75" s="326"/>
    </row>
    <row r="76" spans="1:6">
      <c r="A76" s="1298" t="s">
        <v>64</v>
      </c>
      <c r="B76" s="1298" t="s">
        <v>639</v>
      </c>
      <c r="C76" s="1312" t="s">
        <v>643</v>
      </c>
      <c r="D76" s="1313">
        <v>1577398</v>
      </c>
      <c r="E76" s="446"/>
      <c r="F76" s="326"/>
    </row>
    <row r="77" spans="1:6">
      <c r="A77" s="1298" t="s">
        <v>65</v>
      </c>
      <c r="B77" s="1298" t="s">
        <v>638</v>
      </c>
      <c r="C77" s="1312" t="s">
        <v>644</v>
      </c>
      <c r="D77" s="1313">
        <v>1411109</v>
      </c>
      <c r="E77" s="446"/>
      <c r="F77" s="326"/>
    </row>
    <row r="78" spans="1:6">
      <c r="A78" s="1293" t="s">
        <v>65</v>
      </c>
      <c r="B78" s="1293" t="s">
        <v>639</v>
      </c>
      <c r="C78" s="1293" t="s">
        <v>645</v>
      </c>
      <c r="D78" s="1314">
        <v>254059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270462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2876.9835703843792</v>
      </c>
      <c r="C91" s="326"/>
      <c r="D91" s="326"/>
      <c r="E91" s="326"/>
      <c r="F91" s="326"/>
    </row>
    <row r="92" spans="1:6">
      <c r="A92" s="1293" t="s">
        <v>68</v>
      </c>
      <c r="B92" s="1294">
        <v>1389.3838301029102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589</v>
      </c>
      <c r="C97" s="326"/>
      <c r="D97" s="326"/>
      <c r="E97" s="326"/>
      <c r="F97" s="326"/>
    </row>
    <row r="98" spans="1:6">
      <c r="A98" s="1298" t="s">
        <v>71</v>
      </c>
      <c r="B98" s="1299">
        <v>0</v>
      </c>
      <c r="C98" s="326"/>
      <c r="D98" s="326"/>
      <c r="E98" s="326"/>
      <c r="F98" s="326"/>
    </row>
    <row r="99" spans="1:6">
      <c r="A99" s="1298" t="s">
        <v>72</v>
      </c>
      <c r="B99" s="1299">
        <v>207</v>
      </c>
      <c r="C99" s="326"/>
      <c r="D99" s="326"/>
      <c r="E99" s="326"/>
      <c r="F99" s="326"/>
    </row>
    <row r="100" spans="1:6">
      <c r="A100" s="1298" t="s">
        <v>73</v>
      </c>
      <c r="B100" s="1299">
        <v>248</v>
      </c>
      <c r="C100" s="326"/>
      <c r="D100" s="326"/>
      <c r="E100" s="326"/>
      <c r="F100" s="326"/>
    </row>
    <row r="101" spans="1:6">
      <c r="A101" s="1298" t="s">
        <v>74</v>
      </c>
      <c r="B101" s="1299">
        <v>97</v>
      </c>
      <c r="C101" s="326"/>
      <c r="D101" s="326"/>
      <c r="E101" s="326"/>
      <c r="F101" s="326"/>
    </row>
    <row r="102" spans="1:6">
      <c r="A102" s="1298" t="s">
        <v>75</v>
      </c>
      <c r="B102" s="1299">
        <v>44</v>
      </c>
      <c r="C102" s="326"/>
      <c r="D102" s="326"/>
      <c r="E102" s="326"/>
      <c r="F102" s="326"/>
    </row>
    <row r="103" spans="1:6">
      <c r="A103" s="1298" t="s">
        <v>76</v>
      </c>
      <c r="B103" s="1299">
        <v>236</v>
      </c>
      <c r="C103" s="326"/>
      <c r="D103" s="326"/>
      <c r="E103" s="326"/>
      <c r="F103" s="326"/>
    </row>
    <row r="104" spans="1:6">
      <c r="A104" s="1298" t="s">
        <v>77</v>
      </c>
      <c r="B104" s="1299">
        <v>1428</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v>
      </c>
      <c r="C123" s="1299">
        <v>10</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154</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81641.388897940909</v>
      </c>
      <c r="C3" s="43" t="s">
        <v>169</v>
      </c>
      <c r="D3" s="43"/>
      <c r="E3" s="154"/>
      <c r="F3" s="43"/>
      <c r="G3" s="43"/>
      <c r="H3" s="43"/>
      <c r="I3" s="43"/>
      <c r="J3" s="43"/>
      <c r="K3" s="96"/>
    </row>
    <row r="4" spans="1:11">
      <c r="A4" s="354" t="s">
        <v>170</v>
      </c>
      <c r="B4" s="49">
        <f>IF(ISERROR('SEAP template'!B78+'SEAP template'!C78),0,'SEAP template'!B78+'SEAP template'!C78)</f>
        <v>10937.617400487288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1585.4029411764707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0.21081141164353467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2264.8613445378155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9530.3571428571431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720.57600000000002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720.57600000000002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0.21081141164353467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151.90564375645164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10454.865089999999</v>
      </c>
      <c r="C5" s="17">
        <f>IF(ISERROR('Eigen informatie GS &amp; warmtenet'!B59),0,'Eigen informatie GS &amp; warmtenet'!B59)</f>
        <v>0</v>
      </c>
      <c r="D5" s="30">
        <f>(SUM(HH_hh_gas_kWh,HH_rest_gas_kWh)/1000)*0.902</f>
        <v>19000.519586180002</v>
      </c>
      <c r="E5" s="17">
        <f>B32*B41</f>
        <v>1505.4189942686603</v>
      </c>
      <c r="F5" s="17">
        <f>B36*B45</f>
        <v>24269.360619582749</v>
      </c>
      <c r="G5" s="18"/>
      <c r="H5" s="17"/>
      <c r="I5" s="17"/>
      <c r="J5" s="17">
        <f>B35*B44+C35*C44</f>
        <v>96.955025683849897</v>
      </c>
      <c r="K5" s="17"/>
      <c r="L5" s="17"/>
      <c r="M5" s="17"/>
      <c r="N5" s="17">
        <f>B34*B43+C34*C43</f>
        <v>4637.6452754744587</v>
      </c>
      <c r="O5" s="17">
        <f>B52*B53*B54</f>
        <v>325.36914797947321</v>
      </c>
      <c r="P5" s="17">
        <f>B60*B61*B62/1000-B60*B61*B62/1000/B63</f>
        <v>168.54334892296038</v>
      </c>
    </row>
    <row r="6" spans="1:16">
      <c r="A6" s="16" t="s">
        <v>604</v>
      </c>
      <c r="B6" s="778">
        <f>kWh_PV_kleiner_dan_10kW</f>
        <v>2876.9835703843792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13331.848660384378</v>
      </c>
      <c r="C8" s="21">
        <f>C5</f>
        <v>0</v>
      </c>
      <c r="D8" s="21">
        <f>D5</f>
        <v>19000.519586180002</v>
      </c>
      <c r="E8" s="21">
        <f>E5</f>
        <v>1505.4189942686603</v>
      </c>
      <c r="F8" s="21">
        <f>F5</f>
        <v>24269.360619582749</v>
      </c>
      <c r="G8" s="21"/>
      <c r="H8" s="21"/>
      <c r="I8" s="21"/>
      <c r="J8" s="21">
        <f>J5</f>
        <v>96.955025683849897</v>
      </c>
      <c r="K8" s="21"/>
      <c r="L8" s="21">
        <f>L5</f>
        <v>0</v>
      </c>
      <c r="M8" s="21">
        <f>M5</f>
        <v>0</v>
      </c>
      <c r="N8" s="21">
        <f>N5</f>
        <v>4637.6452754744587</v>
      </c>
      <c r="O8" s="21">
        <f>O5</f>
        <v>325.36914797947321</v>
      </c>
      <c r="P8" s="21">
        <f>P5</f>
        <v>168.54334892296038</v>
      </c>
    </row>
    <row r="9" spans="1:16">
      <c r="B9" s="19"/>
      <c r="C9" s="19"/>
      <c r="D9" s="256"/>
      <c r="E9" s="19"/>
      <c r="F9" s="19"/>
      <c r="G9" s="19"/>
      <c r="H9" s="19"/>
      <c r="I9" s="19"/>
      <c r="J9" s="19"/>
      <c r="K9" s="19"/>
      <c r="L9" s="19"/>
      <c r="M9" s="19"/>
      <c r="N9" s="19"/>
      <c r="O9" s="19"/>
      <c r="P9" s="19"/>
    </row>
    <row r="10" spans="1:16">
      <c r="A10" s="24" t="s">
        <v>213</v>
      </c>
      <c r="B10" s="25">
        <f ca="1">'EF ele_warmte'!B12</f>
        <v>0.21081141164353467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2810.5058359135974</v>
      </c>
      <c r="C12" s="23">
        <f ca="1">C10*C8</f>
        <v>0</v>
      </c>
      <c r="D12" s="23">
        <f>D8*D10</f>
        <v>3838.1049564083605</v>
      </c>
      <c r="E12" s="23">
        <f>E10*E8</f>
        <v>341.73011169898592</v>
      </c>
      <c r="F12" s="23">
        <f>F10*F8</f>
        <v>6479.9192854285939</v>
      </c>
      <c r="G12" s="23"/>
      <c r="H12" s="23"/>
      <c r="I12" s="23"/>
      <c r="J12" s="23">
        <f>J10*J8</f>
        <v>34.322079092082859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3192</v>
      </c>
      <c r="C26" s="36"/>
      <c r="D26" s="226"/>
    </row>
    <row r="27" spans="1:7" s="15" customFormat="1">
      <c r="A27" s="228" t="s">
        <v>806</v>
      </c>
      <c r="B27" s="37">
        <f>SUM(HH_hh_gas_aantal,HH_rest_gas_aantal)</f>
        <v>1506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1430.7</v>
      </c>
      <c r="C31" s="166" t="s">
        <v>110</v>
      </c>
      <c r="D31" s="231"/>
      <c r="G31" s="15"/>
    </row>
    <row r="32" spans="1:7">
      <c r="A32" s="169" t="s">
        <v>72</v>
      </c>
      <c r="B32" s="166">
        <f>IF((B21*($B$26-($B$27-0.05*$B$27)-$B$60))&lt;0,0,B21*($B$26-($B$27-0.05*$B$27)-$B$60))</f>
        <v>27.706984280524228</v>
      </c>
      <c r="C32" s="166" t="s">
        <v>110</v>
      </c>
      <c r="D32" s="231"/>
      <c r="G32" s="15"/>
    </row>
    <row r="33" spans="1:7">
      <c r="A33" s="169" t="s">
        <v>73</v>
      </c>
      <c r="B33" s="166">
        <f>IF((B22*($B$26-($B$27-0.05*$B$27)-$B$60))&lt;0,0,B22*($B$26-($B$27-0.05*$B$27)-$B$60))</f>
        <v>449.90655043105187</v>
      </c>
      <c r="C33" s="166" t="s">
        <v>110</v>
      </c>
      <c r="D33" s="231"/>
      <c r="G33" s="15"/>
    </row>
    <row r="34" spans="1:7">
      <c r="A34" s="169" t="s">
        <v>74</v>
      </c>
      <c r="B34" s="166">
        <f>IF((B24*($B$26-($B$27-0.05*$B$27)-$B$60))&lt;0,0,B24*($B$26-($B$27-0.05*$B$27)-$B$60))</f>
        <v>86.2531065758903</v>
      </c>
      <c r="C34" s="166">
        <f>B26*C24</f>
        <v>654.05975986248905</v>
      </c>
      <c r="D34" s="231"/>
      <c r="G34" s="15"/>
    </row>
    <row r="35" spans="1:7">
      <c r="A35" s="169" t="s">
        <v>76</v>
      </c>
      <c r="B35" s="166">
        <f>IF((B19*($B$26-($B$27-0.05*$B$27)-$B$60))&lt;0,0,B19*($B$26-($B$27-0.05*$B$27)-$B$60))</f>
        <v>12.044160011485333</v>
      </c>
      <c r="C35" s="166">
        <f>B35/2</f>
        <v>6.0220800057426667</v>
      </c>
      <c r="D35" s="232"/>
      <c r="G35" s="15"/>
    </row>
    <row r="36" spans="1:7">
      <c r="A36" s="169" t="s">
        <v>77</v>
      </c>
      <c r="B36" s="166">
        <f>IF((B18*($B$26-($B$27-0.05*$B$27)-$B$60))&lt;0,0,B18*($B$26-($B$27-0.05*$B$27)-$B$60))</f>
        <v>1169.3891987010479</v>
      </c>
      <c r="C36" s="166" t="s">
        <v>110</v>
      </c>
      <c r="D36" s="232"/>
      <c r="G36" s="15"/>
    </row>
    <row r="37" spans="1:7">
      <c r="A37" s="169" t="s">
        <v>78</v>
      </c>
      <c r="B37" s="166">
        <f>B60</f>
        <v>16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9341.4776740000016</v>
      </c>
      <c r="C5" s="17">
        <f>IF(ISERROR('Eigen informatie GS &amp; warmtenet'!B60),0,'Eigen informatie GS &amp; warmtenet'!B60)</f>
        <v>0</v>
      </c>
      <c r="D5" s="30">
        <f>SUM(D6:D12)</f>
        <v>9223.9198745980011</v>
      </c>
      <c r="E5" s="17">
        <f>SUM(E6:E12)</f>
        <v>146.88759000217851</v>
      </c>
      <c r="F5" s="17">
        <f>SUM(F6:F12)</f>
        <v>1047.4863026544267</v>
      </c>
      <c r="G5" s="18"/>
      <c r="H5" s="17"/>
      <c r="I5" s="17"/>
      <c r="J5" s="17">
        <f>SUM(J6:J12)</f>
        <v>1.2764318450870959E-2</v>
      </c>
      <c r="K5" s="17"/>
      <c r="L5" s="17"/>
      <c r="M5" s="17"/>
      <c r="N5" s="17">
        <f>SUM(N6:N12)</f>
        <v>503.70781504139171</v>
      </c>
      <c r="O5" s="17">
        <f>B38*B39*B40</f>
        <v>4.8972607658411542</v>
      </c>
      <c r="P5" s="17">
        <f>B46*B47*B48/1000-B46*B47*B48/1000/B49</f>
        <v>52.539138306495019</v>
      </c>
      <c r="R5" s="32"/>
    </row>
    <row r="6" spans="1:18">
      <c r="A6" s="32" t="s">
        <v>53</v>
      </c>
      <c r="B6" s="37">
        <f>B26</f>
        <v>1732.2712749999998</v>
      </c>
      <c r="C6" s="33"/>
      <c r="D6" s="37">
        <f>IF(ISERROR(TER_kantoor_gas_kWh/1000),0,TER_kantoor_gas_kWh/1000)*0.902</f>
        <v>1996.2828172100001</v>
      </c>
      <c r="E6" s="33">
        <f>$C$26*'E Balans VL '!I12/100/3.6*1000000</f>
        <v>13.939031539997707</v>
      </c>
      <c r="F6" s="33">
        <f>$C$26*('E Balans VL '!L12+'E Balans VL '!N12)/100/3.6*1000000</f>
        <v>211.78838627914448</v>
      </c>
      <c r="G6" s="34"/>
      <c r="H6" s="33"/>
      <c r="I6" s="33"/>
      <c r="J6" s="33">
        <f>$C$26*('E Balans VL '!D12+'E Balans VL '!E12)/100/3.6*1000000</f>
        <v>0</v>
      </c>
      <c r="K6" s="33"/>
      <c r="L6" s="33"/>
      <c r="M6" s="33"/>
      <c r="N6" s="33">
        <f>$C$26*'E Balans VL '!Y12/100/3.6*1000000</f>
        <v>0.93101050518516359</v>
      </c>
      <c r="O6" s="33"/>
      <c r="P6" s="33"/>
      <c r="R6" s="32"/>
    </row>
    <row r="7" spans="1:18">
      <c r="A7" s="32" t="s">
        <v>52</v>
      </c>
      <c r="B7" s="37">
        <f t="shared" ref="B7:B12" si="0">B27</f>
        <v>749.48944499999993</v>
      </c>
      <c r="C7" s="33"/>
      <c r="D7" s="37">
        <f>IF(ISERROR(TER_horeca_gas_kWh/1000),0,TER_horeca_gas_kWh/1000)*0.902</f>
        <v>598.67798454199999</v>
      </c>
      <c r="E7" s="33">
        <f>$C$27*'E Balans VL '!I9/100/3.6*1000000</f>
        <v>8.0476762149812746</v>
      </c>
      <c r="F7" s="33">
        <f>$C$27*('E Balans VL '!L9+'E Balans VL '!N9)/100/3.6*1000000</f>
        <v>90.145406094262228</v>
      </c>
      <c r="G7" s="34"/>
      <c r="H7" s="33"/>
      <c r="I7" s="33"/>
      <c r="J7" s="33">
        <f>$C$27*('E Balans VL '!D9+'E Balans VL '!E9)/100/3.6*1000000</f>
        <v>0</v>
      </c>
      <c r="K7" s="33"/>
      <c r="L7" s="33"/>
      <c r="M7" s="33"/>
      <c r="N7" s="33">
        <f>$C$27*'E Balans VL '!Y9/100/3.6*1000000</f>
        <v>0.11236365819296841</v>
      </c>
      <c r="O7" s="33"/>
      <c r="P7" s="33"/>
      <c r="R7" s="32"/>
    </row>
    <row r="8" spans="1:18">
      <c r="A8" s="6" t="s">
        <v>51</v>
      </c>
      <c r="B8" s="37">
        <f t="shared" si="0"/>
        <v>2870.9198700000002</v>
      </c>
      <c r="C8" s="33"/>
      <c r="D8" s="37">
        <f>IF(ISERROR(TER_handel_gas_kWh/1000),0,TER_handel_gas_kWh/1000)*0.902</f>
        <v>1658.829103712</v>
      </c>
      <c r="E8" s="33">
        <f>$C$28*'E Balans VL '!I13/100/3.6*1000000</f>
        <v>77.046700074880576</v>
      </c>
      <c r="F8" s="33">
        <f>$C$28*('E Balans VL '!L13+'E Balans VL '!N13)/100/3.6*1000000</f>
        <v>273.97423962993247</v>
      </c>
      <c r="G8" s="34"/>
      <c r="H8" s="33"/>
      <c r="I8" s="33"/>
      <c r="J8" s="33">
        <f>$C$28*('E Balans VL '!D13+'E Balans VL '!E13)/100/3.6*1000000</f>
        <v>0</v>
      </c>
      <c r="K8" s="33"/>
      <c r="L8" s="33"/>
      <c r="M8" s="33"/>
      <c r="N8" s="33">
        <f>$C$28*'E Balans VL '!Y13/100/3.6*1000000</f>
        <v>1.1380652799336064</v>
      </c>
      <c r="O8" s="33"/>
      <c r="P8" s="33"/>
      <c r="R8" s="32"/>
    </row>
    <row r="9" spans="1:18">
      <c r="A9" s="32" t="s">
        <v>50</v>
      </c>
      <c r="B9" s="37">
        <f t="shared" si="0"/>
        <v>39.258618999999996</v>
      </c>
      <c r="C9" s="33"/>
      <c r="D9" s="37">
        <f>IF(ISERROR(TER_gezond_gas_kWh/1000),0,TER_gezond_gas_kWh/1000)*0.902</f>
        <v>101.37627790400001</v>
      </c>
      <c r="E9" s="33">
        <f>$C$29*'E Balans VL '!I10/100/3.6*1000000</f>
        <v>7.3583435167439815E-2</v>
      </c>
      <c r="F9" s="33">
        <f>$C$29*('E Balans VL '!L10+'E Balans VL '!N10)/100/3.6*1000000</f>
        <v>3.2274166890973151</v>
      </c>
      <c r="G9" s="34"/>
      <c r="H9" s="33"/>
      <c r="I9" s="33"/>
      <c r="J9" s="33">
        <f>$C$29*('E Balans VL '!D10+'E Balans VL '!E10)/100/3.6*1000000</f>
        <v>0</v>
      </c>
      <c r="K9" s="33"/>
      <c r="L9" s="33"/>
      <c r="M9" s="33"/>
      <c r="N9" s="33">
        <f>$C$29*'E Balans VL '!Y10/100/3.6*1000000</f>
        <v>0.30546134695852845</v>
      </c>
      <c r="O9" s="33"/>
      <c r="P9" s="33"/>
      <c r="R9" s="32"/>
    </row>
    <row r="10" spans="1:18">
      <c r="A10" s="32" t="s">
        <v>49</v>
      </c>
      <c r="B10" s="37">
        <f t="shared" si="0"/>
        <v>353.19149599999997</v>
      </c>
      <c r="C10" s="33"/>
      <c r="D10" s="37">
        <f>IF(ISERROR(TER_ander_gas_kWh/1000),0,TER_ander_gas_kWh/1000)*0.902</f>
        <v>113.37860650600001</v>
      </c>
      <c r="E10" s="33">
        <f>$C$30*'E Balans VL '!I14/100/3.6*1000000</f>
        <v>0.54444826991813144</v>
      </c>
      <c r="F10" s="33">
        <f>$C$30*('E Balans VL '!L14+'E Balans VL '!N14)/100/3.6*1000000</f>
        <v>54.833077257873114</v>
      </c>
      <c r="G10" s="34"/>
      <c r="H10" s="33"/>
      <c r="I10" s="33"/>
      <c r="J10" s="33">
        <f>$C$30*('E Balans VL '!D14+'E Balans VL '!E14)/100/3.6*1000000</f>
        <v>5.9957981291107717E-3</v>
      </c>
      <c r="K10" s="33"/>
      <c r="L10" s="33"/>
      <c r="M10" s="33"/>
      <c r="N10" s="33">
        <f>$C$30*'E Balans VL '!Y14/100/3.6*1000000</f>
        <v>233.66017405112308</v>
      </c>
      <c r="O10" s="33"/>
      <c r="P10" s="33"/>
      <c r="R10" s="32"/>
    </row>
    <row r="11" spans="1:18">
      <c r="A11" s="32" t="s">
        <v>54</v>
      </c>
      <c r="B11" s="37">
        <f t="shared" si="0"/>
        <v>64.540455000000009</v>
      </c>
      <c r="C11" s="33"/>
      <c r="D11" s="37">
        <f>IF(ISERROR(TER_onderwijs_gas_kWh/1000),0,TER_onderwijs_gas_kWh/1000)*0.902</f>
        <v>388.34007416600002</v>
      </c>
      <c r="E11" s="33">
        <f>$C$31*'E Balans VL '!I11/100/3.6*1000000</f>
        <v>1.6462224174498841</v>
      </c>
      <c r="F11" s="33">
        <f>$C$31*('E Balans VL '!L11+'E Balans VL '!N11)/100/3.6*1000000</f>
        <v>7.7615971916460298</v>
      </c>
      <c r="G11" s="34"/>
      <c r="H11" s="33"/>
      <c r="I11" s="33"/>
      <c r="J11" s="33">
        <f>$C$31*('E Balans VL '!D11+'E Balans VL '!E11)/100/3.6*1000000</f>
        <v>0</v>
      </c>
      <c r="K11" s="33"/>
      <c r="L11" s="33"/>
      <c r="M11" s="33"/>
      <c r="N11" s="33">
        <f>$C$31*'E Balans VL '!Y11/100/3.6*1000000</f>
        <v>0.14353639711932847</v>
      </c>
      <c r="O11" s="33"/>
      <c r="P11" s="33"/>
      <c r="R11" s="32"/>
    </row>
    <row r="12" spans="1:18">
      <c r="A12" s="32" t="s">
        <v>254</v>
      </c>
      <c r="B12" s="37">
        <f t="shared" si="0"/>
        <v>3531.8065139999999</v>
      </c>
      <c r="C12" s="33"/>
      <c r="D12" s="37">
        <f>IF(ISERROR(TER_rest_gas_kWh/1000),0,TER_rest_gas_kWh/1000)*0.902</f>
        <v>4367.035010558001</v>
      </c>
      <c r="E12" s="33">
        <f>$C$32*'E Balans VL '!I8/100/3.6*1000000</f>
        <v>45.589928049783509</v>
      </c>
      <c r="F12" s="33">
        <f>$C$32*('E Balans VL '!L8+'E Balans VL '!N8)/100/3.6*1000000</f>
        <v>405.75617951247079</v>
      </c>
      <c r="G12" s="34"/>
      <c r="H12" s="33"/>
      <c r="I12" s="33"/>
      <c r="J12" s="33">
        <f>$C$32*('E Balans VL '!D8+'E Balans VL '!E8)/100/3.6*1000000</f>
        <v>6.7685203217601872E-3</v>
      </c>
      <c r="K12" s="33"/>
      <c r="L12" s="33"/>
      <c r="M12" s="33"/>
      <c r="N12" s="33">
        <f>$C$32*'E Balans VL '!Y8/100/3.6*1000000</f>
        <v>267.41720380287904</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9341.4776740000016</v>
      </c>
      <c r="C16" s="21">
        <f t="shared" ca="1" si="1"/>
        <v>0</v>
      </c>
      <c r="D16" s="21">
        <f t="shared" ca="1" si="1"/>
        <v>9223.9198745980011</v>
      </c>
      <c r="E16" s="21">
        <f t="shared" si="1"/>
        <v>146.88759000217851</v>
      </c>
      <c r="F16" s="21">
        <f t="shared" ca="1" si="1"/>
        <v>1047.4863026544267</v>
      </c>
      <c r="G16" s="21">
        <f t="shared" si="1"/>
        <v>0</v>
      </c>
      <c r="H16" s="21">
        <f t="shared" si="1"/>
        <v>0</v>
      </c>
      <c r="I16" s="21">
        <f t="shared" si="1"/>
        <v>0</v>
      </c>
      <c r="J16" s="21">
        <f t="shared" si="1"/>
        <v>1.2764318450870959E-2</v>
      </c>
      <c r="K16" s="21">
        <f t="shared" si="1"/>
        <v>0</v>
      </c>
      <c r="L16" s="21">
        <f t="shared" ca="1" si="1"/>
        <v>0</v>
      </c>
      <c r="M16" s="21">
        <f t="shared" si="1"/>
        <v>0</v>
      </c>
      <c r="N16" s="21">
        <f t="shared" ca="1" si="1"/>
        <v>503.70781504139171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0.21081141164353467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1969.2900952925031</v>
      </c>
      <c r="C20" s="23">
        <f t="shared" ref="C20:P20" ca="1" si="2">C16*C18</f>
        <v>0</v>
      </c>
      <c r="D20" s="23">
        <f t="shared" ca="1" si="2"/>
        <v>1863.2318146687962</v>
      </c>
      <c r="E20" s="23">
        <f t="shared" si="2"/>
        <v>33.343482930494524</v>
      </c>
      <c r="F20" s="23">
        <f t="shared" ca="1" si="2"/>
        <v>279.67884280873193</v>
      </c>
      <c r="G20" s="23">
        <f t="shared" si="2"/>
        <v>0</v>
      </c>
      <c r="H20" s="23">
        <f t="shared" si="2"/>
        <v>0</v>
      </c>
      <c r="I20" s="23">
        <f t="shared" si="2"/>
        <v>0</v>
      </c>
      <c r="J20" s="23">
        <f t="shared" si="2"/>
        <v>4.5185687316083188E-3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1732.2712749999998</v>
      </c>
      <c r="C26" s="39">
        <f>IF(ISERROR(B26*3.6/1000000/'E Balans VL '!Z12*100),0,B26*3.6/1000000/'E Balans VL '!Z12*100)</f>
        <v>3.6748550252902072E-2</v>
      </c>
      <c r="D26" s="235" t="s">
        <v>698</v>
      </c>
      <c r="F26" s="6"/>
    </row>
    <row r="27" spans="1:18">
      <c r="A27" s="229" t="s">
        <v>52</v>
      </c>
      <c r="B27" s="33">
        <f>IF(ISERROR(TER_horeca_ele_kWh/1000),0,TER_horeca_ele_kWh/1000)</f>
        <v>749.48944499999993</v>
      </c>
      <c r="C27" s="39">
        <f>IF(ISERROR(B27*3.6/1000000/'E Balans VL '!Z9*100),0,B27*3.6/1000000/'E Balans VL '!Z9*100)</f>
        <v>5.6443194565663372E-2</v>
      </c>
      <c r="D27" s="235" t="s">
        <v>698</v>
      </c>
      <c r="F27" s="6"/>
    </row>
    <row r="28" spans="1:18">
      <c r="A28" s="169" t="s">
        <v>51</v>
      </c>
      <c r="B28" s="33">
        <f>IF(ISERROR(TER_handel_ele_kWh/1000),0,TER_handel_ele_kWh/1000)</f>
        <v>2870.9198700000002</v>
      </c>
      <c r="C28" s="39">
        <f>IF(ISERROR(B28*3.6/1000000/'E Balans VL '!Z13*100),0,B28*3.6/1000000/'E Balans VL '!Z13*100)</f>
        <v>8.333263136332672E-2</v>
      </c>
      <c r="D28" s="235" t="s">
        <v>698</v>
      </c>
      <c r="F28" s="6"/>
    </row>
    <row r="29" spans="1:18">
      <c r="A29" s="229" t="s">
        <v>50</v>
      </c>
      <c r="B29" s="33">
        <f>IF(ISERROR(TER_gezond_ele_kWh/1000),0,TER_gezond_ele_kWh/1000)</f>
        <v>39.258618999999996</v>
      </c>
      <c r="C29" s="39">
        <f>IF(ISERROR(B29*3.6/1000000/'E Balans VL '!Z10*100),0,B29*3.6/1000000/'E Balans VL '!Z10*100)</f>
        <v>3.9592785439600047E-3</v>
      </c>
      <c r="D29" s="235" t="s">
        <v>698</v>
      </c>
      <c r="F29" s="6"/>
    </row>
    <row r="30" spans="1:18">
      <c r="A30" s="229" t="s">
        <v>49</v>
      </c>
      <c r="B30" s="33">
        <f>IF(ISERROR(TER_ander_ele_kWh/1000),0,TER_ander_ele_kWh/1000)</f>
        <v>353.19149599999997</v>
      </c>
      <c r="C30" s="39">
        <f>IF(ISERROR(B30*3.6/1000000/'E Balans VL '!Z14*100),0,B30*3.6/1000000/'E Balans VL '!Z14*100)</f>
        <v>2.5628861450286415E-2</v>
      </c>
      <c r="D30" s="235" t="s">
        <v>698</v>
      </c>
      <c r="F30" s="6"/>
    </row>
    <row r="31" spans="1:18">
      <c r="A31" s="229" t="s">
        <v>54</v>
      </c>
      <c r="B31" s="33">
        <f>IF(ISERROR(TER_onderwijs_ele_kWh/1000),0,TER_onderwijs_ele_kWh/1000)</f>
        <v>64.540455000000009</v>
      </c>
      <c r="C31" s="39">
        <f>IF(ISERROR(B31*3.6/1000000/'E Balans VL '!Z11*100),0,B31*3.6/1000000/'E Balans VL '!Z11*100)</f>
        <v>1.8396657884706576E-2</v>
      </c>
      <c r="D31" s="235" t="s">
        <v>698</v>
      </c>
    </row>
    <row r="32" spans="1:18">
      <c r="A32" s="229" t="s">
        <v>254</v>
      </c>
      <c r="B32" s="33">
        <f>IF(ISERROR(TER_rest_ele_kWh/1000),0,TER_rest_ele_kWh/1000)</f>
        <v>3531.8065139999999</v>
      </c>
      <c r="C32" s="39">
        <f>IF(ISERROR(B32*3.6/1000000/'E Balans VL '!Z8*100),0,B32*3.6/1000000/'E Balans VL '!Z8*100)</f>
        <v>2.8931839567381643E-2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53244.526238999999</v>
      </c>
      <c r="C5" s="17">
        <f>IF(ISERROR('Eigen informatie GS &amp; warmtenet'!B61),0,'Eigen informatie GS &amp; warmtenet'!B61)</f>
        <v>0</v>
      </c>
      <c r="D5" s="30">
        <f>SUM(D6:D15)</f>
        <v>15854.124933261999</v>
      </c>
      <c r="E5" s="17">
        <f>SUM(E6:E15)</f>
        <v>860.87556299448136</v>
      </c>
      <c r="F5" s="17">
        <f>SUM(F6:F15)</f>
        <v>4972.433745540854</v>
      </c>
      <c r="G5" s="18"/>
      <c r="H5" s="17"/>
      <c r="I5" s="17"/>
      <c r="J5" s="17">
        <f>SUM(J6:J15)</f>
        <v>118.74880414817787</v>
      </c>
      <c r="K5" s="17"/>
      <c r="L5" s="17"/>
      <c r="M5" s="17"/>
      <c r="N5" s="17">
        <f>SUM(N6:N15)</f>
        <v>2830.0944170878183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9.2184660000000012</v>
      </c>
      <c r="C8" s="33"/>
      <c r="D8" s="37">
        <f>IF( ISERROR(IND_metaal_Gas_kWH/1000),0,IND_metaal_Gas_kWH/1000)*0.902</f>
        <v>0</v>
      </c>
      <c r="E8" s="33">
        <f>C30*'E Balans VL '!I18/100/3.6*1000000</f>
        <v>6.6504762065866238E-2</v>
      </c>
      <c r="F8" s="33">
        <f>C30*'E Balans VL '!L18/100/3.6*1000000+C30*'E Balans VL '!N18/100/3.6*1000000</f>
        <v>0.87189690699385736</v>
      </c>
      <c r="G8" s="34"/>
      <c r="H8" s="33"/>
      <c r="I8" s="33"/>
      <c r="J8" s="40">
        <f>C30*'E Balans VL '!D18/100/3.6*1000000+C30*'E Balans VL '!E18/100/3.6*1000000</f>
        <v>9.2719866731322629E-3</v>
      </c>
      <c r="K8" s="33"/>
      <c r="L8" s="33"/>
      <c r="M8" s="33"/>
      <c r="N8" s="33">
        <f>C30*'E Balans VL '!Y18/100/3.6*1000000</f>
        <v>0.11654579989313212</v>
      </c>
      <c r="O8" s="33"/>
      <c r="P8" s="33"/>
      <c r="R8" s="32"/>
    </row>
    <row r="9" spans="1:18">
      <c r="A9" s="6" t="s">
        <v>32</v>
      </c>
      <c r="B9" s="37">
        <f t="shared" si="0"/>
        <v>419.51343699999995</v>
      </c>
      <c r="C9" s="33"/>
      <c r="D9" s="37">
        <f>IF( ISERROR(IND_andere_gas_kWh/1000),0,IND_andere_gas_kWh/1000)*0.902</f>
        <v>307.14879736200004</v>
      </c>
      <c r="E9" s="33">
        <f>C31*'E Balans VL '!I19/100/3.6*1000000</f>
        <v>116.25278299013553</v>
      </c>
      <c r="F9" s="33">
        <f>C31*'E Balans VL '!L19/100/3.6*1000000+C31*'E Balans VL '!N19/100/3.6*1000000</f>
        <v>347.69364316112421</v>
      </c>
      <c r="G9" s="34"/>
      <c r="H9" s="33"/>
      <c r="I9" s="33"/>
      <c r="J9" s="40">
        <f>C31*'E Balans VL '!D19/100/3.6*1000000+C31*'E Balans VL '!E19/100/3.6*1000000</f>
        <v>0</v>
      </c>
      <c r="K9" s="33"/>
      <c r="L9" s="33"/>
      <c r="M9" s="33"/>
      <c r="N9" s="33">
        <f>C31*'E Balans VL '!Y19/100/3.6*1000000</f>
        <v>30.451544321370161</v>
      </c>
      <c r="O9" s="33"/>
      <c r="P9" s="33"/>
      <c r="R9" s="32"/>
    </row>
    <row r="10" spans="1:18">
      <c r="A10" s="6" t="s">
        <v>40</v>
      </c>
      <c r="B10" s="37">
        <f t="shared" si="0"/>
        <v>38499.188829999999</v>
      </c>
      <c r="C10" s="33"/>
      <c r="D10" s="37">
        <f>IF( ISERROR(IND_voed_gas_kWh/1000),0,IND_voed_gas_kWh/1000)*0.902</f>
        <v>0</v>
      </c>
      <c r="E10" s="33">
        <f>C32*'E Balans VL '!I20/100/3.6*1000000</f>
        <v>68.156604740421244</v>
      </c>
      <c r="F10" s="33">
        <f>C32*'E Balans VL '!L20/100/3.6*1000000+C32*'E Balans VL '!N20/100/3.6*1000000</f>
        <v>2079.2974120698495</v>
      </c>
      <c r="G10" s="34"/>
      <c r="H10" s="33"/>
      <c r="I10" s="33"/>
      <c r="J10" s="40">
        <f>C32*'E Balans VL '!D20/100/3.6*1000000+C32*'E Balans VL '!E20/100/3.6*1000000</f>
        <v>0</v>
      </c>
      <c r="K10" s="33"/>
      <c r="L10" s="33"/>
      <c r="M10" s="33"/>
      <c r="N10" s="33">
        <f>C32*'E Balans VL '!Y20/100/3.6*1000000</f>
        <v>2237.0968929918704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4.6171360000000004</v>
      </c>
      <c r="C13" s="33"/>
      <c r="D13" s="37">
        <f>IF( ISERROR(IND_papier_gas_kWh/1000),0,IND_papier_gas_kWh/1000)*0.902</f>
        <v>0</v>
      </c>
      <c r="E13" s="33">
        <f>C35*'E Balans VL '!I23/100/3.6*1000000</f>
        <v>6.7933924889726849E-3</v>
      </c>
      <c r="F13" s="33">
        <f>C35*'E Balans VL '!L23/100/3.6*1000000+C35*'E Balans VL '!N23/100/3.6*1000000</f>
        <v>4.943709043139894E-2</v>
      </c>
      <c r="G13" s="34"/>
      <c r="H13" s="33"/>
      <c r="I13" s="33"/>
      <c r="J13" s="40">
        <f>C35*'E Balans VL '!D23/100/3.6*1000000+C35*'E Balans VL '!E23/100/3.6*1000000</f>
        <v>0.5051405699438053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14311.988369999999</v>
      </c>
      <c r="C15" s="33"/>
      <c r="D15" s="37">
        <f>IF( ISERROR(IND_rest_gas_kWh/1000),0,IND_rest_gas_kWh/1000)*0.902</f>
        <v>15546.976135899999</v>
      </c>
      <c r="E15" s="33">
        <f>C37*'E Balans VL '!I15/100/3.6*1000000</f>
        <v>676.39287710936981</v>
      </c>
      <c r="F15" s="33">
        <f>C37*'E Balans VL '!L15/100/3.6*1000000+C37*'E Balans VL '!N15/100/3.6*1000000</f>
        <v>2544.5213563124553</v>
      </c>
      <c r="G15" s="34"/>
      <c r="H15" s="33"/>
      <c r="I15" s="33"/>
      <c r="J15" s="40">
        <f>C37*'E Balans VL '!D15/100/3.6*1000000+C37*'E Balans VL '!E15/100/3.6*1000000</f>
        <v>118.23439159156094</v>
      </c>
      <c r="K15" s="33"/>
      <c r="L15" s="33"/>
      <c r="M15" s="33"/>
      <c r="N15" s="33">
        <f>C37*'E Balans VL '!Y15/100/3.6*1000000</f>
        <v>562.42943397468491</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53244.526238999999</v>
      </c>
      <c r="C18" s="21">
        <f>C5+C16</f>
        <v>0</v>
      </c>
      <c r="D18" s="21">
        <f>MAX((D5+D16),0)</f>
        <v>15854.124933261999</v>
      </c>
      <c r="E18" s="21">
        <f>MAX((E5+E16),0)</f>
        <v>860.87556299448136</v>
      </c>
      <c r="F18" s="21">
        <f>MAX((F5+F16),0)</f>
        <v>4972.433745540854</v>
      </c>
      <c r="G18" s="21"/>
      <c r="H18" s="21"/>
      <c r="I18" s="21"/>
      <c r="J18" s="21">
        <f>MAX((J5+J16),0)</f>
        <v>118.74880414817787</v>
      </c>
      <c r="K18" s="21"/>
      <c r="L18" s="21">
        <f>MAX((L5+L16),0)</f>
        <v>0</v>
      </c>
      <c r="M18" s="21"/>
      <c r="N18" s="21">
        <f>MAX((N5+N16),0)</f>
        <v>2830.0944170878183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0.21081141164353467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11224.553738734812</v>
      </c>
      <c r="C22" s="23">
        <f ca="1">C18*C20</f>
        <v>0</v>
      </c>
      <c r="D22" s="23">
        <f>D18*D20</f>
        <v>3202.5332365189242</v>
      </c>
      <c r="E22" s="23">
        <f>E18*E20</f>
        <v>195.41875279974727</v>
      </c>
      <c r="F22" s="23">
        <f>F18*F20</f>
        <v>1327.6398100594081</v>
      </c>
      <c r="G22" s="23"/>
      <c r="H22" s="23"/>
      <c r="I22" s="23"/>
      <c r="J22" s="23">
        <f>J18*J20</f>
        <v>42.037076668454965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9.2184660000000012</v>
      </c>
      <c r="C30" s="39">
        <f>IF(ISERROR(B30*3.6/1000000/'E Balans VL '!Z18*100),0,B30*3.6/1000000/'E Balans VL '!Z18*100)</f>
        <v>5.321676581680763E-4</v>
      </c>
      <c r="D30" s="235" t="s">
        <v>698</v>
      </c>
    </row>
    <row r="31" spans="1:18">
      <c r="A31" s="6" t="s">
        <v>32</v>
      </c>
      <c r="B31" s="37">
        <f>IF( ISERROR(IND_ander_ele_kWh/1000),0,IND_ander_ele_kWh/1000)</f>
        <v>419.51343699999995</v>
      </c>
      <c r="C31" s="39">
        <f>IF(ISERROR(B31*3.6/1000000/'E Balans VL '!Z19*100),0,B31*3.6/1000000/'E Balans VL '!Z19*100)</f>
        <v>2.1100166080946749E-2</v>
      </c>
      <c r="D31" s="235" t="s">
        <v>698</v>
      </c>
    </row>
    <row r="32" spans="1:18">
      <c r="A32" s="169" t="s">
        <v>40</v>
      </c>
      <c r="B32" s="37">
        <f>IF( ISERROR(IND_voed_ele_kWh/1000),0,IND_voed_ele_kWh/1000)</f>
        <v>38499.188829999999</v>
      </c>
      <c r="C32" s="39">
        <f>IF(ISERROR(B32*3.6/1000000/'E Balans VL '!Z20*100),0,B32*3.6/1000000/'E Balans VL '!Z20*100)</f>
        <v>1.2822516057733582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4.6171360000000004</v>
      </c>
      <c r="C35" s="39">
        <f>IF(ISERROR(B35*3.6/1000000/'E Balans VL '!Z22*100),0,B35*3.6/1000000/'E Balans VL '!Z22*100)</f>
        <v>8.6125181403973118E-4</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14311.988369999999</v>
      </c>
      <c r="C37" s="39">
        <f>IF(ISERROR(B37*3.6/1000000/'E Balans VL '!Z15*100),0,B37*3.6/1000000/'E Balans VL '!Z15*100)</f>
        <v>0.111672647295832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4607.5502100000003</v>
      </c>
      <c r="C5" s="17">
        <f>'Eigen informatie GS &amp; warmtenet'!B62</f>
        <v>0</v>
      </c>
      <c r="D5" s="30">
        <f>IF(ISERROR(SUM(LB_lb_gas_kWh,LB_rest_gas_kWh)/1000),0,SUM(LB_lb_gas_kWh,LB_rest_gas_kWh)/1000)*0.902</f>
        <v>22145.709077799998</v>
      </c>
      <c r="E5" s="17">
        <f>B17*'E Balans VL '!I25/3.6*1000000/100</f>
        <v>143.80012267148379</v>
      </c>
      <c r="F5" s="17">
        <f>B17*('E Balans VL '!L25/3.6*1000000+'E Balans VL '!N25/3.6*1000000)/100</f>
        <v>16283.592852783431</v>
      </c>
      <c r="G5" s="18"/>
      <c r="H5" s="17"/>
      <c r="I5" s="17"/>
      <c r="J5" s="17">
        <f>('E Balans VL '!D25+'E Balans VL '!E25)/3.6*1000000*landbouw!B17/100</f>
        <v>1269.4120359356718</v>
      </c>
      <c r="K5" s="17"/>
      <c r="L5" s="17">
        <f>L6*(-1)</f>
        <v>0</v>
      </c>
      <c r="M5" s="17"/>
      <c r="N5" s="17">
        <f>N6*(-1)</f>
        <v>0</v>
      </c>
      <c r="O5" s="17"/>
      <c r="P5" s="17"/>
      <c r="R5" s="32"/>
    </row>
    <row r="6" spans="1:18">
      <c r="A6" s="16" t="s">
        <v>471</v>
      </c>
      <c r="B6" s="17" t="s">
        <v>210</v>
      </c>
      <c r="C6" s="17">
        <f>'lokale energieproductie'!O40+'lokale energieproductie'!O33</f>
        <v>9530.3571428571431</v>
      </c>
      <c r="D6" s="304">
        <f>('lokale energieproductie'!P33+'lokale energieproductie'!P40)*(-1)</f>
        <v>-19060.714285714286</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4607.5502100000003</v>
      </c>
      <c r="C8" s="21">
        <f>C5+C6</f>
        <v>9530.3571428571431</v>
      </c>
      <c r="D8" s="21">
        <f>MAX((D5+D6),0)</f>
        <v>3084.9947920857121</v>
      </c>
      <c r="E8" s="21">
        <f>MAX((E5+E6),0)</f>
        <v>143.80012267148379</v>
      </c>
      <c r="F8" s="21">
        <f>MAX((F5+F6),0)</f>
        <v>16283.592852783431</v>
      </c>
      <c r="G8" s="21"/>
      <c r="H8" s="21"/>
      <c r="I8" s="21"/>
      <c r="J8" s="21">
        <f>MAX((J5+J6),0)</f>
        <v>1269.4120359356718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0.21081141164353467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971.32416398856469</v>
      </c>
      <c r="C12" s="23">
        <f ca="1">C8*C10</f>
        <v>2264.8613445378155</v>
      </c>
      <c r="D12" s="23">
        <f>D8*D10</f>
        <v>623.16894800131388</v>
      </c>
      <c r="E12" s="23">
        <f>E8*E10</f>
        <v>32.642627846426819</v>
      </c>
      <c r="F12" s="23">
        <f>F8*F10</f>
        <v>4347.7192916931763</v>
      </c>
      <c r="G12" s="23"/>
      <c r="H12" s="23"/>
      <c r="I12" s="23"/>
      <c r="J12" s="23">
        <f>J8*J10</f>
        <v>449.37186072122779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0.6849453687650835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641.87727389636461</v>
      </c>
      <c r="C26" s="245">
        <f>B26*'GWP N2O_CH4'!B5</f>
        <v>13479.422751823657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490.72233919872656</v>
      </c>
      <c r="C27" s="245">
        <f>B27*'GWP N2O_CH4'!B5</f>
        <v>10305.169123173258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11.546925754085869</v>
      </c>
      <c r="C28" s="245">
        <f>B28*'GWP N2O_CH4'!B4</f>
        <v>3579.5469837666196</v>
      </c>
      <c r="D28" s="50"/>
    </row>
    <row r="29" spans="1:4">
      <c r="A29" s="41" t="s">
        <v>271</v>
      </c>
      <c r="B29" s="245">
        <f>B34*'ha_N2O bodem landbouw'!B4</f>
        <v>28.489129897510637</v>
      </c>
      <c r="C29" s="245">
        <f>B29*'GWP N2O_CH4'!B4</f>
        <v>8831.6302682282967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6.2471532512735324E-3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2.1579529992489735E-4</v>
      </c>
      <c r="C5" s="433" t="s">
        <v>210</v>
      </c>
      <c r="D5" s="418">
        <f>SUM(D6:D11)</f>
        <v>4.080638541105341E-4</v>
      </c>
      <c r="E5" s="418">
        <f>SUM(E6:E11)</f>
        <v>3.5096308719290533E-4</v>
      </c>
      <c r="F5" s="431" t="s">
        <v>210</v>
      </c>
      <c r="G5" s="418">
        <f>SUM(G6:G11)</f>
        <v>0.15343587395914715</v>
      </c>
      <c r="H5" s="418">
        <f>SUM(H6:H11)</f>
        <v>3.6147809217842164E-2</v>
      </c>
      <c r="I5" s="433" t="s">
        <v>210</v>
      </c>
      <c r="J5" s="433" t="s">
        <v>210</v>
      </c>
      <c r="K5" s="433" t="s">
        <v>210</v>
      </c>
      <c r="L5" s="433" t="s">
        <v>210</v>
      </c>
      <c r="M5" s="418">
        <f>SUM(M6:M11)</f>
        <v>1.1237677416054328E-2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1.0720537710308029E-4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1.8097310072443101E-4</v>
      </c>
      <c r="E6" s="884">
        <f>vkm_GW_PW*SUMIFS(TableVerdeelsleutelVkm[LPG],TableVerdeelsleutelVkm[Voertuigtype],"Lichte voertuigen")*SUMIFS(TableECFTransport[EnergieConsumptieFactor (PJ per km)],TableECFTransport[Index],CONCATENATE($A6,"_LPG_LPG"))</f>
        <v>1.5858173880759369E-4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4.9537855274067295E-2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1.614283124845213E-2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3.9242793820577302E-3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7.0422022238318283E-7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2.6878116584103235E-2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3.7361443692785399E-7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1.5493186073997015E-3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1.0175384929187825E-4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2.1932917375385504E-4</v>
      </c>
      <c r="E8" s="421">
        <f>vkm_NGW_PW*SUMIFS(TableVerdeelsleutelVkm[LPG],TableVerdeelsleutelVkm[Voertuigtype],"Lichte voertuigen")*SUMIFS(TableECFTransport[EnergieConsumptieFactor (PJ per km)],TableECFTransport[Index],CONCATENATE($A8,"_LPG_LPG"))</f>
        <v>1.841075170789638E-4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5.3135655346366752E-2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1.9280586935231953E-2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4.3394181233838008E-3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3.921674821898498E-7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1.9242438876736326E-2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2.5113265241524301E-7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1.1091788899969647E-3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5.6765225156889328E-6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7.7615796322480106E-6</v>
      </c>
      <c r="E10" s="421">
        <f>vkm_SW_PW*SUMIFS(TableVerdeelsleutelVkm[LPG],TableVerdeelsleutelVkm[Voertuigtype],"Lichte voertuigen")*SUMIFS(TableECFTransport[EnergieConsumptieFactor (PJ per km)],TableECFTransport[Index],CONCATENATE($A10,"_LPG_LPG"))</f>
        <v>8.2738313063478596E-6</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2.3553088313324065E-3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7.2373179569633188E-4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1.836829871906425E-4</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6.3163309676867248E-8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2.2864990465411412E-3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3.4491372406000269E-8</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1.3179942602548693E-4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59.943138868027042</v>
      </c>
      <c r="C14" s="21"/>
      <c r="D14" s="21">
        <f t="shared" ref="D14:M14" si="0">((D5)*10^9/3600)+D12</f>
        <v>113.35107058625948</v>
      </c>
      <c r="E14" s="21">
        <f t="shared" si="0"/>
        <v>97.489746442473702</v>
      </c>
      <c r="F14" s="21"/>
      <c r="G14" s="21">
        <f t="shared" si="0"/>
        <v>42621.076099763101</v>
      </c>
      <c r="H14" s="21">
        <f t="shared" si="0"/>
        <v>10041.058116067266</v>
      </c>
      <c r="I14" s="21"/>
      <c r="J14" s="21"/>
      <c r="K14" s="21"/>
      <c r="L14" s="21"/>
      <c r="M14" s="21">
        <f t="shared" si="0"/>
        <v>3121.5770600150909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0.21081141164353467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12.636697723113212</v>
      </c>
      <c r="C18" s="23"/>
      <c r="D18" s="23">
        <f t="shared" ref="D18:M18" si="1">D14*D16</f>
        <v>22.896916258424415</v>
      </c>
      <c r="E18" s="23">
        <f t="shared" si="1"/>
        <v>22.13017244244153</v>
      </c>
      <c r="F18" s="23"/>
      <c r="G18" s="23">
        <f t="shared" si="1"/>
        <v>11379.827318636748</v>
      </c>
      <c r="H18" s="23">
        <f t="shared" si="1"/>
        <v>2500.2234709007494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4.5819099678622611E-5</v>
      </c>
      <c r="C50" s="315">
        <f t="shared" ref="C50:P50" si="2">SUM(C51:C52)</f>
        <v>0</v>
      </c>
      <c r="D50" s="315">
        <f t="shared" si="2"/>
        <v>0</v>
      </c>
      <c r="E50" s="315">
        <f t="shared" si="2"/>
        <v>0</v>
      </c>
      <c r="F50" s="315">
        <f t="shared" si="2"/>
        <v>0</v>
      </c>
      <c r="G50" s="315">
        <f t="shared" si="2"/>
        <v>3.3196627811115115E-3</v>
      </c>
      <c r="H50" s="315">
        <f t="shared" si="2"/>
        <v>0</v>
      </c>
      <c r="I50" s="315">
        <f t="shared" si="2"/>
        <v>0</v>
      </c>
      <c r="J50" s="315">
        <f t="shared" si="2"/>
        <v>0</v>
      </c>
      <c r="K50" s="315">
        <f t="shared" si="2"/>
        <v>0</v>
      </c>
      <c r="L50" s="315">
        <f t="shared" si="2"/>
        <v>0</v>
      </c>
      <c r="M50" s="315">
        <f t="shared" si="2"/>
        <v>1.8777001285890589E-4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4.5819099678622611E-5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3.3196627811115115E-3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1.8777001285890589E-4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12.72752768850628</v>
      </c>
      <c r="C54" s="21">
        <f t="shared" ref="C54:P54" si="3">(C50)*10^9/3600</f>
        <v>0</v>
      </c>
      <c r="D54" s="21">
        <f t="shared" si="3"/>
        <v>0</v>
      </c>
      <c r="E54" s="21">
        <f t="shared" si="3"/>
        <v>0</v>
      </c>
      <c r="F54" s="21">
        <f t="shared" si="3"/>
        <v>0</v>
      </c>
      <c r="G54" s="21">
        <f t="shared" si="3"/>
        <v>922.12855030875312</v>
      </c>
      <c r="H54" s="21">
        <f t="shared" si="3"/>
        <v>0</v>
      </c>
      <c r="I54" s="21">
        <f t="shared" si="3"/>
        <v>0</v>
      </c>
      <c r="J54" s="21">
        <f t="shared" si="3"/>
        <v>0</v>
      </c>
      <c r="K54" s="21">
        <f t="shared" si="3"/>
        <v>0</v>
      </c>
      <c r="L54" s="21">
        <f t="shared" si="3"/>
        <v>0</v>
      </c>
      <c r="M54" s="21">
        <f t="shared" si="3"/>
        <v>52.158336905251637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0.21081141164353467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2.6831080787461827</v>
      </c>
      <c r="C58" s="23">
        <f t="shared" ref="C58:P58" ca="1" si="4">C54*C56</f>
        <v>0</v>
      </c>
      <c r="D58" s="23">
        <f t="shared" si="4"/>
        <v>0</v>
      </c>
      <c r="E58" s="23">
        <f t="shared" si="4"/>
        <v>0</v>
      </c>
      <c r="F58" s="23">
        <f t="shared" si="4"/>
        <v>0</v>
      </c>
      <c r="G58" s="23">
        <f t="shared" si="4"/>
        <v>246.20832293243708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4266.3674004872892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6671.25</v>
      </c>
      <c r="C8" s="543">
        <f>B49</f>
        <v>7848.5294117647054</v>
      </c>
      <c r="D8" s="544"/>
      <c r="E8" s="544">
        <f>E49</f>
        <v>0</v>
      </c>
      <c r="F8" s="545"/>
      <c r="G8" s="546"/>
      <c r="H8" s="544">
        <f>I49</f>
        <v>0</v>
      </c>
      <c r="I8" s="544">
        <f>G49+F49</f>
        <v>0</v>
      </c>
      <c r="J8" s="544">
        <f>H49+D49+C49</f>
        <v>0</v>
      </c>
      <c r="K8" s="544"/>
      <c r="L8" s="544"/>
      <c r="M8" s="544"/>
      <c r="N8" s="547"/>
      <c r="O8" s="548">
        <f>C8*$C$12+D8*$D$12+E8*$E$12+F8*$F$12+G8*$G$12+H8*$H$12+I8*$I$12+J8*$J$12</f>
        <v>1585.4029411764707</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10937.617400487288</v>
      </c>
      <c r="C10" s="558">
        <f t="shared" ref="C10:L10" si="0">SUM(C8:C9)</f>
        <v>7848.5294117647054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1585.4029411764707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9530.3571428571431</v>
      </c>
      <c r="C17" s="574">
        <f>B50</f>
        <v>11212.18487394958</v>
      </c>
      <c r="D17" s="575"/>
      <c r="E17" s="575">
        <f>E50</f>
        <v>0</v>
      </c>
      <c r="F17" s="576"/>
      <c r="G17" s="577"/>
      <c r="H17" s="574">
        <f>I50</f>
        <v>0</v>
      </c>
      <c r="I17" s="575">
        <f>G50+F50</f>
        <v>0</v>
      </c>
      <c r="J17" s="575">
        <f>H50+D50+C50</f>
        <v>0</v>
      </c>
      <c r="K17" s="575"/>
      <c r="L17" s="575"/>
      <c r="M17" s="575"/>
      <c r="N17" s="966"/>
      <c r="O17" s="578">
        <f>C17*$C$22+E17*$E$22+H17*$H$22+I17*$I$22+J17*$J$22+D17*$D$22+F17*$F$22+G17*$G$22+K17*$K$22+L17*$L$22</f>
        <v>2264.8613445378155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9530.3571428571431</v>
      </c>
      <c r="C20" s="557">
        <f>SUM(C17:C19)</f>
        <v>11212.18487394958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2264.8613445378155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33040</v>
      </c>
      <c r="C28" s="785">
        <v>8920</v>
      </c>
      <c r="D28" s="635" t="s">
        <v>906</v>
      </c>
      <c r="E28" s="634" t="s">
        <v>907</v>
      </c>
      <c r="F28" s="634" t="s">
        <v>908</v>
      </c>
      <c r="G28" s="634" t="s">
        <v>909</v>
      </c>
      <c r="H28" s="634" t="s">
        <v>910</v>
      </c>
      <c r="I28" s="634" t="s">
        <v>907</v>
      </c>
      <c r="J28" s="784">
        <v>40584</v>
      </c>
      <c r="K28" s="784">
        <v>40584</v>
      </c>
      <c r="L28" s="634" t="s">
        <v>911</v>
      </c>
      <c r="M28" s="634">
        <v>1477</v>
      </c>
      <c r="N28" s="634">
        <v>6646.5</v>
      </c>
      <c r="O28" s="634">
        <v>9495</v>
      </c>
      <c r="P28" s="634">
        <v>18990</v>
      </c>
      <c r="Q28" s="634">
        <v>0</v>
      </c>
      <c r="R28" s="634">
        <v>0</v>
      </c>
      <c r="S28" s="634">
        <v>0</v>
      </c>
      <c r="T28" s="634">
        <v>0</v>
      </c>
      <c r="U28" s="634">
        <v>0</v>
      </c>
      <c r="V28" s="634">
        <v>0</v>
      </c>
      <c r="W28" s="634">
        <v>0</v>
      </c>
      <c r="X28" s="634">
        <v>10</v>
      </c>
      <c r="Y28" s="634" t="s">
        <v>111</v>
      </c>
      <c r="Z28" s="636" t="s">
        <v>111</v>
      </c>
    </row>
    <row r="29" spans="1:26" s="588" customFormat="1" ht="25.5">
      <c r="A29" s="587"/>
      <c r="B29" s="785">
        <v>33040</v>
      </c>
      <c r="C29" s="785">
        <v>8920</v>
      </c>
      <c r="D29" s="635" t="s">
        <v>912</v>
      </c>
      <c r="E29" s="634" t="s">
        <v>913</v>
      </c>
      <c r="F29" s="634" t="s">
        <v>914</v>
      </c>
      <c r="G29" s="634" t="s">
        <v>909</v>
      </c>
      <c r="H29" s="634" t="s">
        <v>910</v>
      </c>
      <c r="I29" s="634" t="s">
        <v>913</v>
      </c>
      <c r="J29" s="784">
        <v>41411</v>
      </c>
      <c r="K29" s="784">
        <v>41474</v>
      </c>
      <c r="L29" s="634" t="s">
        <v>911</v>
      </c>
      <c r="M29" s="634">
        <v>5.5</v>
      </c>
      <c r="N29" s="634">
        <v>24.75</v>
      </c>
      <c r="O29" s="634">
        <v>35.357142857142861</v>
      </c>
      <c r="P29" s="634">
        <v>70.714285714285722</v>
      </c>
      <c r="Q29" s="634">
        <v>0</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1482.5</v>
      </c>
      <c r="N30" s="592">
        <f>SUM(N28:N29)</f>
        <v>6671.25</v>
      </c>
      <c r="O30" s="592">
        <f>SUM(O28:O29)</f>
        <v>9530.3571428571431</v>
      </c>
      <c r="P30" s="592">
        <f>SUM(P28:P29)</f>
        <v>19060.714285714286</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1482.5</v>
      </c>
      <c r="N33" s="597">
        <f>SUMIF($Z$28:$Z$29,"landbouw",N28:N29)</f>
        <v>6671.25</v>
      </c>
      <c r="O33" s="597">
        <f>SUMIF($Z$28:$Z$29,"landbouw",O28:O29)</f>
        <v>9530.3571428571431</v>
      </c>
      <c r="P33" s="597">
        <f>SUMIF($Z$28:$Z$29,"landbouw",P28:P29)</f>
        <v>19060.714285714286</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7848.5294117647054</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11212.18487394958</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2021-06-29T14:45:14Z</dcterms:modified>
</cp:coreProperties>
</file>