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R33" i="18"/>
  <c r="Q33" i="18"/>
  <c r="P33" i="18"/>
  <c r="O33" i="18"/>
  <c r="C6" i="17" s="1"/>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J15" i="16"/>
  <c r="I9" i="18"/>
  <c r="I77" i="14" s="1"/>
  <c r="I9" i="59" s="1"/>
  <c r="D16" i="16"/>
  <c r="B13" i="15"/>
  <c r="F6" i="17"/>
  <c r="F8" i="17" s="1"/>
  <c r="G24" i="14" s="1"/>
  <c r="G26" i="14"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20" i="15" l="1"/>
  <c r="K40" i="14"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0" i="13"/>
  <c r="C12" i="13" s="1"/>
  <c r="C29" i="20"/>
  <c r="C56" i="22"/>
  <c r="C58" i="22" s="1"/>
  <c r="D49" i="14" s="1"/>
  <c r="D52" i="14" s="1"/>
  <c r="C22" i="59"/>
  <c r="C17" i="19"/>
  <c r="C19" i="19" s="1"/>
  <c r="D39" i="14" s="1"/>
  <c r="C18" i="15"/>
  <c r="C20" i="15" s="1"/>
  <c r="D40" i="14" s="1"/>
  <c r="C17" i="49"/>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9" i="48"/>
  <c r="C32" i="48"/>
  <c r="C25" i="48"/>
  <c r="C22" i="48"/>
  <c r="F27" i="14"/>
  <c r="F63" i="14" s="1"/>
  <c r="C78" i="14"/>
  <c r="B78" i="14"/>
  <c r="C27" i="48" l="1"/>
  <c r="C23" i="48"/>
  <c r="C30" i="48"/>
  <c r="C28" i="48"/>
  <c r="C26" i="48"/>
  <c r="C31" i="48"/>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<sst xmlns="http://schemas.openxmlformats.org/spreadsheetml/2006/main" count="2500" uniqueCount="915">
  <si>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</si>
  <si>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</si>
  <si>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</si>
  <si>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</si>
  <si>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</si>
  <si>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</si>
  <si>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</si>
  <si>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</si>
  <si>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</si>
  <si>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</si>
  <si>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</si>
  <si>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</si>
  <si>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</si>
  <si>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</si>
  <si>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</si>
  <si>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</si>
  <si>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</si>
  <si>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</si>
  <si>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</si>
  <si>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</si>
  <si>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</si>
  <si>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</si>
  <si>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</si>
  <si>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</si>
  <si>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</si>
  <si>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</si>
  <si>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</si>
  <si>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</si>
  <si>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</si>
  <si>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</si>
  <si>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</si>
  <si>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</si>
  <si>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</si>
  <si>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</si>
  <si>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</si>
  <si>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</si>
  <si>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</si>
  <si>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</si>
  <si>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</si>
  <si>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</si>
  <si>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</si>
  <si>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</si>
  <si>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</si>
  <si>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</si>
  <si>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</si>
  <si>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</si>
  <si>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</si>
  <si>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</si>
  <si>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</si>
  <si>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</si>
  <si>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</si>
  <si>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</si>
  <si>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</si>
  <si>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</si>
  <si>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</si>
  <si>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</si>
  <si>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</si>
  <si>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</si>
  <si>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</si>
  <si>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</si>
  <si>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</si>
  <si>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</si>
  <si>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</si>
  <si>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</si>
  <si>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</si>
  <si>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</si>
  <si>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</si>
  <si>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</si>
  <si>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</si>
  <si>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</si>
  <si>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</si>
  <si>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</si>
  <si>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</si>
  <si>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</si>
  <si>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</si>
  <si>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</si>
  <si>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</si>
  <si>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</si>
  <si>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</si>
  <si>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</si>
  <si>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</si>
  <si>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</si>
  <si>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</si>
  <si>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</si>
  <si>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</si>
  <si>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</si>
  <si>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</si>
  <si>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</si>
  <si>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</si>
  <si>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</si>
  <si>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</si>
  <si>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</si>
  <si>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</si>
  <si>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</si>
  <si>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</si>
  <si>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</si>
  <si>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</si>
  <si>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</si>
  <si>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</si>
  <si>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</si>
  <si>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</si>
  <si>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</si>
  <si>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</si>
  <si>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</si>
  <si>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</si>
  <si>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</si>
  <si>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</si>
  <si>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</si>
  <si>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</si>
  <si>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</si>
  <si>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</si>
  <si>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</si>
  <si>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</si>
  <si>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</si>
  <si>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</si>
  <si>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</si>
  <si>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</si>
  <si>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</si>
  <si>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</si>
  <si>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</si>
  <si>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</si>
  <si>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</si>
  <si>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</si>
  <si>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</si>
  <si>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</si>
  <si>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</si>
  <si>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</si>
  <si>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</si>
  <si>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</si>
  <si>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</si>
  <si>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</si>
  <si>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</si>
  <si>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</si>
  <si>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</si>
  <si>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</si>
  <si>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</si>
  <si>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</si>
  <si>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</si>
  <si>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</si>
  <si>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</si>
  <si>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</si>
  <si>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</si>
  <si>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</si>
  <si>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</si>
  <si>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</si>
  <si>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</si>
  <si>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</si>
  <si>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</si>
  <si>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</si>
  <si>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</si>
  <si>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</si>
  <si>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</si>
  <si>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</si>
  <si>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</si>
  <si>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</si>
  <si>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</si>
  <si>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</si>
  <si>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</si>
  <si>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</si>
  <si>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</si>
  <si>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</si>
  <si>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</si>
  <si>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</si>
  <si>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</si>
  <si>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</si>
  <si>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</si>
  <si>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</si>
  <si>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</si>
  <si>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</si>
  <si>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</si>
  <si>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</si>
  <si>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</si>
  <si>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</si>
  <si>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</si>
  <si>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</si>
  <si>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</si>
  <si>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</si>
  <si>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</si>
  <si>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</si>
  <si>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</si>
  <si>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</si>
  <si>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</si>
  <si>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</si>
  <si>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</si>
  <si>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</si>
  <si>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</si>
  <si>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</si>
  <si>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</si>
  <si>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</si>
  <si>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</si>
  <si>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</si>
  <si>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</si>
  <si>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</si>
  <si>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</si>
  <si>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</si>
  <si>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</si>
  <si>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</si>
  <si>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</si>
  <si>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</si>
  <si>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</si>
  <si>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</si>
  <si>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</si>
  <si>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</si>
  <si>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</si>
  <si>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</si>
  <si>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</si>
  <si>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</si>
  <si>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</si>
  <si>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</si>
  <si>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</si>
  <si>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</si>
  <si>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</si>
  <si>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</si>
  <si>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</si>
  <si>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</si>
  <si>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</si>
  <si>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</si>
  <si>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</si>
  <si>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</si>
  <si>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</si>
  <si>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</si>
  <si>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</si>
  <si>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</si>
  <si>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</si>
  <si>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</si>
  <si>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</si>
  <si>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</si>
  <si>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</si>
  <si>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</si>
  <si>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</si>
  <si>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</si>
  <si>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</si>
  <si>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</si>
  <si>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</si>
  <si>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</si>
  <si>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</si>
  <si>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</si>
  <si>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</si>
  <si>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</si>
  <si>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</si>
  <si>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</si>
  <si>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</si>
  <si>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</si>
  <si>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</si>
  <si>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</si>
  <si>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</si>
  <si>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</si>
  <si>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</si>
  <si>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</si>
  <si>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</si>
  <si>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</si>
  <si>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</si>
  <si>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</si>
  <si>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</si>
  <si>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</si>
  <si>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</si>
  <si>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</si>
  <si>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</si>
  <si>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</si>
  <si>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</si>
  <si>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</si>
  <si>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</si>
  <si>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</si>
  <si>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</si>
  <si>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</si>
  <si>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</si>
  <si>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</si>
  <si>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</si>
  <si>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</si>
  <si>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</si>
  <si>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</si>
  <si>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</si>
  <si>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</si>
  <si>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</si>
  <si>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</si>
  <si>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</si>
  <si>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</si>
  <si>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</si>
  <si>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</si>
  <si>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</si>
  <si>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</si>
  <si>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</si>
  <si>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</si>
  <si>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</si>
  <si>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</si>
  <si>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</si>
  <si>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</si>
  <si>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</si>
  <si>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</si>
  <si>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</si>
  <si>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</si>
  <si>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</si>
  <si>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</si>
  <si>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</si>
  <si>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</si>
  <si>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</si>
  <si>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</si>
  <si>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</si>
  <si>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</si>
  <si>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</si>
  <si>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</si>
  <si>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</si>
  <si>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</si>
  <si>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</si>
  <si>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</si>
  <si>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</si>
  <si>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</si>
  <si>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</si>
  <si>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</si>
  <si>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</si>
  <si>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</si>
  <si>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</si>
  <si>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</si>
  <si>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</si>
  <si>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</si>
  <si>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</si>
  <si>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</si>
  <si>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</si>
  <si>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</si>
  <si>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</si>
  <si>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</si>
  <si>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</si>
  <si>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</si>
  <si>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</si>
  <si>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</si>
  <si>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</si>
  <si>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</si>
  <si>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</si>
  <si>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</si>
  <si>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</si>
  <si>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</si>
  <si>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</si>
  <si>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</si>
  <si>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</si>
  <si>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</si>
  <si>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</si>
  <si>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</si>
  <si>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</si>
  <si>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</si>
  <si>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</si>
  <si>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</si>
  <si>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</si>
  <si>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</si>
  <si>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</si>
  <si>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</si>
  <si>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</si>
  <si>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</si>
  <si>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</si>
  <si>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</si>
  <si>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</si>
  <si>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</si>
  <si>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</si>
  <si>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</si>
  <si>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</si>
  <si>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</si>
  <si>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</si>
  <si>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</si>
  <si>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</si>
  <si>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</si>
  <si>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</si>
  <si>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</si>
  <si>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</si>
  <si>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</si>
  <si>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</si>
  <si>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</si>
  <si>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</si>
  <si>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</si>
  <si>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</si>
  <si>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</si>
  <si>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</si>
  <si>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</si>
  <si>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</si>
  <si>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</si>
  <si>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</si>
  <si>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</si>
  <si>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</si>
  <si>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</si>
  <si>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</si>
  <si>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</si>
  <si>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</si>
  <si>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</si>
  <si>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</si>
  <si>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</si>
  <si>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</si>
  <si>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</si>
  <si>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</si>
  <si>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</si>
  <si>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</si>
  <si>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</si>
  <si>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</si>
  <si>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</si>
  <si>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</si>
  <si>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</si>
  <si>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</si>
  <si>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</si>
  <si>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</si>
  <si>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</si>
  <si>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</si>
  <si>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</si>
  <si>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</si>
  <si>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</si>
  <si>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</si>
  <si>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</si>
  <si>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</si>
  <si>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</si>
  <si>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</si>
  <si>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</si>
  <si>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</si>
  <si>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</si>
  <si>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</si>
  <si>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</si>
  <si>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</si>
  <si>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</si>
  <si>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</si>
  <si>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</si>
  <si>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</si>
  <si>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</si>
  <si>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</si>
  <si>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</si>
  <si>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</si>
  <si>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</si>
  <si>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</si>
  <si>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</si>
  <si>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</si>
  <si>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</si>
  <si>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</si>
  <si>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</si>
  <si>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</si>
  <si>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</si>
  <si>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</si>
  <si>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</si>
  <si>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</si>
  <si>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</si>
  <si>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</si>
  <si>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</si>
  <si>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</si>
  <si>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</si>
  <si>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</si>
  <si>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</si>
  <si>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</si>
  <si>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</si>
  <si>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</si>
  <si>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</si>
  <si>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</si>
  <si>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</si>
  <si>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</si>
  <si>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</si>
  <si>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</si>
  <si>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</si>
  <si>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</si>
  <si>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</si>
  <si>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</si>
  <si>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</si>
  <si>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</si>
  <si>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</si>
  <si>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</si>
  <si>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</si>
  <si>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</si>
  <si>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</si>
  <si>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</si>
  <si>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</si>
  <si>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</si>
  <si>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</si>
  <si>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</si>
  <si>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</si>
  <si>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</si>
  <si>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</si>
  <si>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</si>
  <si>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</si>
  <si>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</si>
  <si>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</si>
  <si>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</si>
  <si>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</si>
  <si>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</si>
  <si>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</si>
  <si>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</si>
  <si>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</si>
  <si>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</si>
  <si>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</si>
  <si>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</si>
  <si>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</si>
  <si>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</si>
  <si>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</si>
  <si>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</si>
  <si>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</si>
  <si>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</si>
  <si>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</si>
  <si>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</si>
  <si>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</si>
  <si>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</si>
  <si>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</si>
  <si>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</si>
  <si>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</si>
  <si>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</si>
  <si>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</si>
  <si>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</si>
  <si>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</si>
  <si>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</si>
  <si>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</si>
  <si>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</si>
  <si>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</si>
  <si>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</si>
  <si>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</si>
  <si>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</si>
  <si>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</si>
  <si>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</si>
  <si>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</si>
  <si>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</si>
  <si>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</si>
  <si>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</si>
  <si>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</si>
  <si>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</si>
  <si>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</si>
  <si>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</si>
  <si>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</si>
  <si>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</si>
  <si>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</si>
  <si>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</si>
  <si>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</si>
  <si>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</si>
  <si>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</si>
  <si>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</si>
  <si>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</si>
  <si>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</si>
  <si>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</si>
  <si>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</si>
  <si>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</si>
  <si>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</si>
  <si>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</si>
  <si>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</si>
  <si>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</si>
  <si>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</si>
  <si>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</si>
  <si>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</si>
  <si>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</si>
  <si>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</si>
  <si>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</si>
  <si>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</si>
  <si>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</si>
  <si>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</si>
  <si>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</si>
  <si>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</si>
  <si>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</si>
  <si>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</si>
  <si>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</si>
  <si>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</si>
  <si>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</si>
  <si>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</si>
  <si>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</si>
  <si>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</si>
  <si>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</si>
  <si>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</si>
  <si>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</si>
  <si>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</si>
  <si>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</si>
  <si>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</si>
  <si>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</si>
  <si>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</si>
  <si>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</si>
  <si>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</si>
  <si>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</si>
  <si>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</si>
  <si>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</si>
  <si>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</si>
  <si>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</si>
  <si>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</si>
  <si>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</si>
  <si>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</si>
  <si>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</si>
  <si>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</si>
  <si>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</si>
  <si>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</si>
  <si>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</si>
  <si>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</si>
  <si>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</si>
  <si>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</si>
  <si>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</si>
  <si>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</si>
  <si>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</si>
  <si>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</si>
  <si>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</si>
  <si>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</si>
  <si>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</si>
  <si>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</si>
  <si>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</si>
  <si>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</si>
  <si>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</si>
  <si>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</si>
  <si>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</si>
  <si>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</si>
  <si>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</si>
  <si>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</si>
  <si>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</si>
  <si>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</si>
  <si>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</si>
  <si>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</si>
  <si>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</si>
  <si>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</si>
  <si>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</si>
  <si>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</si>
  <si>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</si>
  <si>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</si>
  <si>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</si>
  <si>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</si>
  <si>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</si>
  <si>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</si>
  <si>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</si>
  <si>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</si>
  <si>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</si>
  <si>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</si>
  <si>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</si>
  <si>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</si>
  <si>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</si>
  <si>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</si>
  <si>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</si>
  <si>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</si>
  <si>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</si>
  <si>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</si>
  <si>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</si>
  <si>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</si>
  <si>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</si>
  <si>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</si>
  <si>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</si>
  <si>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</si>
  <si>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</si>
  <si>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</si>
  <si>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</si>
  <si>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</si>
  <si>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</si>
  <si>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</si>
  <si>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</si>
  <si>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</si>
  <si>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</si>
  <si>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</si>
  <si>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</si>
  <si>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</si>
  <si>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</si>
  <si>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</si>
  <si>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</si>
  <si>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</si>
  <si>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</si>
  <si>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</si>
  <si>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</si>
  <si>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</si>
  <si>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</si>
  <si>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</si>
  <si>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</si>
  <si>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</si>
  <si>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</si>
  <si>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</si>
  <si>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</si>
  <si>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</si>
  <si>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</si>
  <si>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</si>
  <si>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</si>
  <si>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</si>
  <si>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</si>
  <si>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</si>
  <si>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</si>
  <si>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</si>
  <si>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</si>
  <si>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</si>
  <si>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</si>
  <si>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</si>
  <si>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</si>
  <si>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</si>
  <si>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</si>
  <si>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</si>
  <si>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</si>
  <si>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</si>
  <si>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</si>
  <si>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</si>
  <si>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</si>
  <si>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</si>
  <si>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</si>
  <si>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</si>
  <si>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</si>
  <si>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</si>
  <si>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</si>
  <si>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</si>
  <si>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</si>
  <si>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</si>
  <si>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</si>
  <si>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</si>
  <si>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</si>
  <si>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</si>
  <si>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</si>
  <si>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</si>
  <si>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</si>
  <si>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</si>
  <si>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</si>
  <si>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</si>
  <si>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</si>
  <si>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</si>
  <si>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</si>
  <si>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</si>
  <si>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</si>
  <si>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</si>
  <si>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</si>
  <si>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</si>
  <si>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</si>
  <si>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</si>
  <si>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</si>
  <si>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</si>
  <si>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</si>
  <si>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</si>
  <si>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</si>
  <si>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</si>
  <si>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</si>
  <si>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</si>
  <si>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</si>
  <si>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</si>
  <si>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</si>
  <si>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</si>
  <si>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</si>
  <si>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</si>
  <si>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</si>
  <si>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</si>
  <si>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</si>
  <si>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</si>
  <si>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</si>
  <si>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</si>
  <si>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</si>
  <si>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</si>
  <si>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</si>
  <si>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</si>
  <si>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</si>
  <si>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</si>
  <si>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</si>
  <si>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</si>
  <si>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</si>
  <si>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</si>
  <si>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</si>
  <si>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</si>
  <si>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</si>
  <si>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</si>
  <si>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</si>
  <si>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</si>
  <si>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</si>
  <si>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</si>
  <si>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</si>
  <si>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</si>
  <si>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</si>
  <si>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</si>
  <si>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</si>
  <si>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</si>
  <si>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</si>
  <si>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</si>
  <si>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</si>
  <si>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</si>
  <si>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</si>
  <si>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</si>
  <si>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</si>
  <si>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</si>
  <si>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</si>
  <si>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</si>
  <si>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</si>
  <si>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</si>
  <si>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</si>
  <si>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</si>
  <si>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</si>
  <si>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</si>
  <si>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</si>
  <si>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</si>
  <si>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</si>
  <si>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</si>
  <si>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</si>
  <si>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</si>
  <si>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</si>
  <si>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</si>
  <si>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</si>
  <si>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</si>
  <si>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</si>
  <si>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</si>
  <si>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</si>
  <si>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</si>
  <si>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</si>
  <si>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</si>
  <si>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</si>
  <si>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</si>
  <si>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</si>
  <si>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</si>
  <si>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</si>
  <si>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</si>
  <si>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</si>
  <si>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</si>
  <si>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</si>
  <si>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</si>
  <si>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</si>
  <si>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</si>
  <si>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</si>
  <si>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</si>
  <si>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</si>
  <si>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</si>
  <si>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</si>
  <si>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</si>
  <si>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</si>
  <si>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</si>
  <si>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</si>
  <si>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</si>
  <si>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</si>
  <si>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</si>
  <si>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</si>
  <si>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</si>
  <si>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</si>
  <si>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</si>
  <si>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</si>
  <si>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</si>
  <si>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</si>
  <si>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</si>
  <si>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</si>
  <si>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</si>
  <si>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</si>
  <si>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</si>
  <si>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</si>
  <si>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</si>
  <si>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</si>
  <si>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</si>
  <si>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</si>
  <si>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</si>
  <si>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</si>
  <si>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</si>
  <si>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</si>
  <si>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</si>
  <si>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</si>
  <si>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</si>
  <si>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</si>
  <si>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</si>
  <si>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</si>
  <si>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</si>
  <si>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</si>
  <si>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</si>
  <si>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</si>
  <si>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</si>
  <si>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</si>
  <si>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</si>
  <si>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</si>
  <si>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</si>
  <si>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</si>
  <si>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</si>
  <si>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</si>
  <si>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</si>
  <si>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</si>
  <si>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</si>
  <si>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</si>
  <si>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</si>
  <si>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</si>
  <si>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</si>
  <si>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</si>
  <si>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</si>
  <si>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</si>
  <si>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</si>
  <si>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</si>
  <si>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</si>
  <si>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</si>
  <si>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</si>
  <si>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</si>
  <si>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</si>
  <si>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</si>
  <si>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</si>
  <si>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</si>
  <si>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</si>
  <si>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</si>
  <si>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</si>
  <si>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</si>
  <si>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</si>
  <si>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</si>
  <si>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</si>
  <si>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</si>
  <si>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</si>
  <si>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</si>
  <si>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</si>
  <si>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</si>
  <si>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</si>
  <si>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</si>
  <si>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</si>
  <si>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</si>
  <si>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</si>
  <si>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</si>
  <si>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</si>
  <si>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</si>
  <si>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</si>
  <si>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</si>
  <si>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</si>
  <si>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</si>
  <si>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</si>
  <si>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</si>
  <si>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</si>
  <si>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</si>
  <si>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</si>
  <si>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</si>
  <si>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</si>
  <si>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</si>
  <si>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</si>
  <si>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</si>
  <si>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</si>
  <si>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</si>
  <si>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</si>
  <si>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</si>
  <si>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</si>
  <si>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</si>
  <si>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</si>
  <si>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</si>
  <si>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24094</t>
  </si>
  <si>
    <t>ROTSELAAR</t>
  </si>
  <si>
    <t>referentietaak LNE (2017); Jaarverslag De Lijn</t>
  </si>
  <si>
    <t>Ward Janssen</t>
  </si>
  <si>
    <t>Guldentop 23, 3118 Werchter</t>
  </si>
  <si>
    <t>WKK-0038 Ward Janssen</t>
  </si>
  <si>
    <t>interne verbrandingsmotor</t>
  </si>
  <si>
    <t>WKK interne verbrandinsgmotor (vloeibaar)</t>
  </si>
  <si>
    <t>IVERLEK</t>
  </si>
  <si>
    <t>WKK-0730 Armonea</t>
  </si>
  <si>
    <t>WKK interne verbrandinsgmotor (gas)</t>
  </si>
  <si>
    <t>Aarschotsesteenweg 146 , 3111 Wezemaal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</si>
</sst>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138964.69046104455</c:v>
                </c:pt>
                <c:pt idx="1">
                  <c:v>34216.735674031661</c:v>
                </c:pt>
                <c:pt idx="2">
                  <c:v>601.06299999999999</c:v>
                </c:pt>
                <c:pt idx="3">
                  <c:v>2562.0475351022519</c:v>
                </c:pt>
                <c:pt idx="4">
                  <c:v>93894.599893356775</c:v>
                </c:pt>
                <c:pt idx="5">
                  <c:v>172688.62177527999</c:v>
                </c:pt>
                <c:pt idx="6">
                  <c:v>1674.6203707377163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138964.69046104455</c:v>
                </c:pt>
                <c:pt idx="1">
                  <c:v>34216.735674031661</c:v>
                </c:pt>
                <c:pt idx="2">
                  <c:v>601.06299999999999</c:v>
                </c:pt>
                <c:pt idx="3">
                  <c:v>2562.0475351022519</c:v>
                </c:pt>
                <c:pt idx="4">
                  <c:v>93894.599893356775</c:v>
                </c:pt>
                <c:pt idx="5">
                  <c:v>172688.62177527999</c:v>
                </c:pt>
                <c:pt idx="6">
                  <c:v>1674.6203707377163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29099.394660963779</c:v>
                </c:pt>
                <c:pt idx="1">
                  <c:v>6704.3729095659446</c:v>
                </c:pt>
                <c:pt idx="2">
                  <c:v>125.09960366873212</c:v>
                </c:pt>
                <c:pt idx="3">
                  <c:v>656.24465407187415</c:v>
                </c:pt>
                <c:pt idx="4">
                  <c:v>19586.969458481308</c:v>
                </c:pt>
                <c:pt idx="5">
                  <c:v>42955.320610789982</c:v>
                </c:pt>
                <c:pt idx="6">
                  <c:v>422.22435254145262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29099.394660963779</c:v>
                </c:pt>
                <c:pt idx="1">
                  <c:v>6704.3729095659446</c:v>
                </c:pt>
                <c:pt idx="2">
                  <c:v>125.09960366873212</c:v>
                </c:pt>
                <c:pt idx="3">
                  <c:v>656.24465407187415</c:v>
                </c:pt>
                <c:pt idx="4">
                  <c:v>19586.969458481308</c:v>
                </c:pt>
                <c:pt idx="5">
                  <c:v>42955.320610789982</c:v>
                </c:pt>
                <c:pt idx="6">
                  <c:v>422.22435254145262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24094</v>
      </c>
      <c r="B6" s="386"/>
      <c r="C6" s="387"/>
    </row>
    <row r="7" spans="1:7" s="384" customFormat="1" ht="15.75" customHeight="1">
      <c r="A7" s="388" t="str">
        <f>txtMunicipality</f>
        <v>ROTSELAAR</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16510.236596999999</v>
      </c>
      <c r="D10" s="681">
        <f ca="1">tertiair!C16</f>
        <v>205.71428571428572</v>
      </c>
      <c r="E10" s="681">
        <f ca="1">tertiair!D16</f>
        <v>13850.67448073543</v>
      </c>
      <c r="F10" s="681">
        <f>tertiair!E16</f>
        <v>171.75169526986753</v>
      </c>
      <c r="G10" s="681">
        <f ca="1">tertiair!F16</f>
        <v>1900.5883621071835</v>
      </c>
      <c r="H10" s="681">
        <f>tertiair!G16</f>
        <v>0</v>
      </c>
      <c r="I10" s="681">
        <f>tertiair!H16</f>
        <v>0</v>
      </c>
      <c r="J10" s="681">
        <f>tertiair!I16</f>
        <v>0</v>
      </c>
      <c r="K10" s="681">
        <f>tertiair!J16</f>
        <v>5.2749956592815311E-2</v>
      </c>
      <c r="L10" s="681">
        <f>tertiair!K16</f>
        <v>0</v>
      </c>
      <c r="M10" s="681">
        <f ca="1">tertiair!L16</f>
        <v>0</v>
      </c>
      <c r="N10" s="681">
        <f>tertiair!M16</f>
        <v>0</v>
      </c>
      <c r="O10" s="681">
        <f ca="1">tertiair!N16</f>
        <v>2068.8049658694581</v>
      </c>
      <c r="P10" s="681">
        <f>tertiair!O16</f>
        <v>4.8972607658411542</v>
      </c>
      <c r="Q10" s="682">
        <f>tertiair!P16</f>
        <v>105.07827661299004</v>
      </c>
      <c r="R10" s="684">
        <f ca="1">SUM(C10:Q10)</f>
        <v>34817.798674031656</v>
      </c>
      <c r="S10" s="67"/>
    </row>
    <row r="11" spans="1:19" s="444" customFormat="1">
      <c r="A11" s="802" t="s">
        <v>219</v>
      </c>
      <c r="B11" s="807"/>
      <c r="C11" s="681">
        <f>huishoudens!B8</f>
        <v>30054.351939820794</v>
      </c>
      <c r="D11" s="681">
        <f>huishoudens!C8</f>
        <v>0</v>
      </c>
      <c r="E11" s="681">
        <f>huishoudens!D8</f>
        <v>45427.792852420003</v>
      </c>
      <c r="F11" s="681">
        <f>huishoudens!E8</f>
        <v>3001.1342334891783</v>
      </c>
      <c r="G11" s="681">
        <f>huishoudens!F8</f>
        <v>48382.28377456325</v>
      </c>
      <c r="H11" s="681">
        <f>huishoudens!G8</f>
        <v>0</v>
      </c>
      <c r="I11" s="681">
        <f>huishoudens!H8</f>
        <v>0</v>
      </c>
      <c r="J11" s="681">
        <f>huishoudens!I8</f>
        <v>0</v>
      </c>
      <c r="K11" s="681">
        <f>huishoudens!J8</f>
        <v>193.28509059365334</v>
      </c>
      <c r="L11" s="681">
        <f>huishoudens!K8</f>
        <v>0</v>
      </c>
      <c r="M11" s="681">
        <f>huishoudens!L8</f>
        <v>0</v>
      </c>
      <c r="N11" s="681">
        <f>huishoudens!M8</f>
        <v>0</v>
      </c>
      <c r="O11" s="681">
        <f>huishoudens!N8</f>
        <v>9513.5988863404909</v>
      </c>
      <c r="P11" s="681">
        <f>huishoudens!O8</f>
        <v>527.73288635695042</v>
      </c>
      <c r="Q11" s="682">
        <f>huishoudens!P8</f>
        <v>1864.510797460249</v>
      </c>
      <c r="R11" s="684">
        <f>SUM(C11:Q11)</f>
        <v>138964.69046104455</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45438.764992999997</v>
      </c>
      <c r="D13" s="681">
        <f>industrie!C18</f>
        <v>0</v>
      </c>
      <c r="E13" s="681">
        <f>industrie!D18</f>
        <v>34577.793469120006</v>
      </c>
      <c r="F13" s="681">
        <f>industrie!E18</f>
        <v>2525.6567846690291</v>
      </c>
      <c r="G13" s="681">
        <f>industrie!F18</f>
        <v>9151.028880580272</v>
      </c>
      <c r="H13" s="681">
        <f>industrie!G18</f>
        <v>0</v>
      </c>
      <c r="I13" s="681">
        <f>industrie!H18</f>
        <v>0</v>
      </c>
      <c r="J13" s="681">
        <f>industrie!I18</f>
        <v>0</v>
      </c>
      <c r="K13" s="681">
        <f>industrie!J18</f>
        <v>362.73698209024116</v>
      </c>
      <c r="L13" s="681">
        <f>industrie!K18</f>
        <v>0</v>
      </c>
      <c r="M13" s="681">
        <f>industrie!L18</f>
        <v>0</v>
      </c>
      <c r="N13" s="681">
        <f>industrie!M18</f>
        <v>0</v>
      </c>
      <c r="O13" s="681">
        <f>industrie!N18</f>
        <v>1838.6187838972253</v>
      </c>
      <c r="P13" s="681">
        <f>industrie!O18</f>
        <v>0</v>
      </c>
      <c r="Q13" s="682">
        <f>industrie!P18</f>
        <v>0</v>
      </c>
      <c r="R13" s="684">
        <f>SUM(C13:Q13)</f>
        <v>93894.599893356775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92003.353529820801</v>
      </c>
      <c r="D16" s="717">
        <f t="shared" ref="D16:R16" ca="1" si="0">SUM(D9:D15)</f>
        <v>205.71428571428572</v>
      </c>
      <c r="E16" s="717">
        <f t="shared" ca="1" si="0"/>
        <v>93856.260802275443</v>
      </c>
      <c r="F16" s="717">
        <f t="shared" si="0"/>
        <v>5698.5427134280744</v>
      </c>
      <c r="G16" s="717">
        <f t="shared" ca="1" si="0"/>
        <v>59433.901017250704</v>
      </c>
      <c r="H16" s="717">
        <f t="shared" si="0"/>
        <v>0</v>
      </c>
      <c r="I16" s="717">
        <f t="shared" si="0"/>
        <v>0</v>
      </c>
      <c r="J16" s="717">
        <f t="shared" si="0"/>
        <v>0</v>
      </c>
      <c r="K16" s="717">
        <f t="shared" si="0"/>
        <v>556.07482264048735</v>
      </c>
      <c r="L16" s="717">
        <f t="shared" si="0"/>
        <v>0</v>
      </c>
      <c r="M16" s="717">
        <f t="shared" ca="1" si="0"/>
        <v>0</v>
      </c>
      <c r="N16" s="717">
        <f t="shared" si="0"/>
        <v>0</v>
      </c>
      <c r="O16" s="717">
        <f t="shared" ca="1" si="0"/>
        <v>13421.022636107175</v>
      </c>
      <c r="P16" s="717">
        <f t="shared" si="0"/>
        <v>532.63014712279153</v>
      </c>
      <c r="Q16" s="717">
        <f t="shared" si="0"/>
        <v>1969.5890740732391</v>
      </c>
      <c r="R16" s="717">
        <f t="shared" ca="1" si="0"/>
        <v>267677.08902843297</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21.59419033247466</v>
      </c>
      <c r="D19" s="681">
        <f>transport!C54</f>
        <v>0</v>
      </c>
      <c r="E19" s="681">
        <f>transport!D54</f>
        <v>0</v>
      </c>
      <c r="F19" s="681">
        <f>transport!E54</f>
        <v>0</v>
      </c>
      <c r="G19" s="681">
        <f>transport!F54</f>
        <v>0</v>
      </c>
      <c r="H19" s="681">
        <f>transport!G54</f>
        <v>1564.5316131866236</v>
      </c>
      <c r="I19" s="681">
        <f>transport!H54</f>
        <v>0</v>
      </c>
      <c r="J19" s="681">
        <f>transport!I54</f>
        <v>0</v>
      </c>
      <c r="K19" s="681">
        <f>transport!J54</f>
        <v>0</v>
      </c>
      <c r="L19" s="681">
        <f>transport!K54</f>
        <v>0</v>
      </c>
      <c r="M19" s="681">
        <f>transport!L54</f>
        <v>0</v>
      </c>
      <c r="N19" s="681">
        <f>transport!M54</f>
        <v>88.49456721861803</v>
      </c>
      <c r="O19" s="681">
        <f>transport!N54</f>
        <v>0</v>
      </c>
      <c r="P19" s="681">
        <f>transport!O54</f>
        <v>0</v>
      </c>
      <c r="Q19" s="682">
        <f>transport!P54</f>
        <v>0</v>
      </c>
      <c r="R19" s="684">
        <f>SUM(C19:Q19)</f>
        <v>1674.6203707377163</v>
      </c>
      <c r="S19" s="67"/>
    </row>
    <row r="20" spans="1:19" s="444" customFormat="1">
      <c r="A20" s="802" t="s">
        <v>301</v>
      </c>
      <c r="B20" s="807"/>
      <c r="C20" s="681">
        <f>transport!B14</f>
        <v>208.90739567874149</v>
      </c>
      <c r="D20" s="681">
        <f>transport!C14</f>
        <v>0</v>
      </c>
      <c r="E20" s="681">
        <f>transport!D14</f>
        <v>331.27335935921531</v>
      </c>
      <c r="F20" s="681">
        <f>transport!E14</f>
        <v>314.6547168618863</v>
      </c>
      <c r="G20" s="681">
        <f>transport!F14</f>
        <v>0</v>
      </c>
      <c r="H20" s="681">
        <f>transport!G14</f>
        <v>132186.84427298213</v>
      </c>
      <c r="I20" s="681">
        <f>transport!H14</f>
        <v>30038.591681470731</v>
      </c>
      <c r="J20" s="681">
        <f>transport!I14</f>
        <v>0</v>
      </c>
      <c r="K20" s="681">
        <f>transport!J14</f>
        <v>0</v>
      </c>
      <c r="L20" s="681">
        <f>transport!K14</f>
        <v>0</v>
      </c>
      <c r="M20" s="681">
        <f>transport!L14</f>
        <v>0</v>
      </c>
      <c r="N20" s="681">
        <f>transport!M14</f>
        <v>9608.3503489273062</v>
      </c>
      <c r="O20" s="681">
        <f>transport!N14</f>
        <v>0</v>
      </c>
      <c r="P20" s="681">
        <f>transport!O14</f>
        <v>0</v>
      </c>
      <c r="Q20" s="682">
        <f>transport!P14</f>
        <v>0</v>
      </c>
      <c r="R20" s="684">
        <f>SUM(C20:Q20)</f>
        <v>172688.62177527999</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230.50158601121615</v>
      </c>
      <c r="D22" s="805">
        <f t="shared" ref="D22:R22" si="1">SUM(D18:D21)</f>
        <v>0</v>
      </c>
      <c r="E22" s="805">
        <f t="shared" si="1"/>
        <v>331.27335935921531</v>
      </c>
      <c r="F22" s="805">
        <f t="shared" si="1"/>
        <v>314.6547168618863</v>
      </c>
      <c r="G22" s="805">
        <f t="shared" si="1"/>
        <v>0</v>
      </c>
      <c r="H22" s="805">
        <f t="shared" si="1"/>
        <v>133751.37588616874</v>
      </c>
      <c r="I22" s="805">
        <f t="shared" si="1"/>
        <v>30038.591681470731</v>
      </c>
      <c r="J22" s="805">
        <f t="shared" si="1"/>
        <v>0</v>
      </c>
      <c r="K22" s="805">
        <f t="shared" si="1"/>
        <v>0</v>
      </c>
      <c r="L22" s="805">
        <f t="shared" si="1"/>
        <v>0</v>
      </c>
      <c r="M22" s="805">
        <f t="shared" si="1"/>
        <v>0</v>
      </c>
      <c r="N22" s="805">
        <f t="shared" si="1"/>
        <v>9696.8449161459248</v>
      </c>
      <c r="O22" s="805">
        <f t="shared" si="1"/>
        <v>0</v>
      </c>
      <c r="P22" s="805">
        <f t="shared" si="1"/>
        <v>0</v>
      </c>
      <c r="Q22" s="805">
        <f t="shared" si="1"/>
        <v>0</v>
      </c>
      <c r="R22" s="805">
        <f t="shared" si="1"/>
        <v>174363.2421460177</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498.055702</v>
      </c>
      <c r="D24" s="681">
        <f>+landbouw!C8</f>
        <v>0</v>
      </c>
      <c r="E24" s="681">
        <f>+landbouw!D8</f>
        <v>151.045855004</v>
      </c>
      <c r="F24" s="681">
        <f>+landbouw!E8</f>
        <v>15.544154220911237</v>
      </c>
      <c r="G24" s="681">
        <f>+landbouw!F8</f>
        <v>1760.1840239903177</v>
      </c>
      <c r="H24" s="681">
        <f>+landbouw!G8</f>
        <v>0</v>
      </c>
      <c r="I24" s="681">
        <f>+landbouw!H8</f>
        <v>0</v>
      </c>
      <c r="J24" s="681">
        <f>+landbouw!I8</f>
        <v>0</v>
      </c>
      <c r="K24" s="681">
        <f>+landbouw!J8</f>
        <v>137.21779988702284</v>
      </c>
      <c r="L24" s="681">
        <f>+landbouw!K8</f>
        <v>0</v>
      </c>
      <c r="M24" s="681">
        <f>+landbouw!L8</f>
        <v>0</v>
      </c>
      <c r="N24" s="681">
        <f>+landbouw!M8</f>
        <v>0</v>
      </c>
      <c r="O24" s="681">
        <f>+landbouw!N8</f>
        <v>0</v>
      </c>
      <c r="P24" s="681">
        <f>+landbouw!O8</f>
        <v>0</v>
      </c>
      <c r="Q24" s="682">
        <f>+landbouw!P8</f>
        <v>0</v>
      </c>
      <c r="R24" s="684">
        <f>SUM(C24:Q24)</f>
        <v>2562.0475351022519</v>
      </c>
      <c r="S24" s="67"/>
    </row>
    <row r="25" spans="1:19" s="444" customFormat="1" ht="15" thickBot="1">
      <c r="A25" s="824" t="s">
        <v>714</v>
      </c>
      <c r="B25" s="943"/>
      <c r="C25" s="944">
        <f>IF(Onbekend_ele_kWh="---",0,Onbekend_ele_kWh)/1000+IF(REST_rest_ele_kWh="---",0,REST_rest_ele_kWh)/1000</f>
        <v>748.42399599999999</v>
      </c>
      <c r="D25" s="944"/>
      <c r="E25" s="944">
        <f>IF(onbekend_gas_kWh="---",0,onbekend_gas_kWh)/1000+IF(REST_rest_gas_kWh="---",0,REST_rest_gas_kWh)/1000</f>
        <v>1518.067337</v>
      </c>
      <c r="F25" s="944"/>
      <c r="G25" s="944"/>
      <c r="H25" s="944"/>
      <c r="I25" s="944"/>
      <c r="J25" s="944"/>
      <c r="K25" s="944"/>
      <c r="L25" s="944"/>
      <c r="M25" s="944"/>
      <c r="N25" s="944"/>
      <c r="O25" s="944"/>
      <c r="P25" s="944"/>
      <c r="Q25" s="945"/>
      <c r="R25" s="684">
        <f>SUM(C25:Q25)</f>
        <v>2266.4913329999999</v>
      </c>
      <c r="S25" s="67"/>
    </row>
    <row r="26" spans="1:19" s="444" customFormat="1" ht="15.75" thickBot="1">
      <c r="A26" s="689" t="s">
        <v>715</v>
      </c>
      <c r="B26" s="810"/>
      <c r="C26" s="805">
        <f>SUM(C24:C25)</f>
        <v>1246.4796980000001</v>
      </c>
      <c r="D26" s="805">
        <f t="shared" ref="D26:R26" si="2">SUM(D24:D25)</f>
        <v>0</v>
      </c>
      <c r="E26" s="805">
        <f t="shared" si="2"/>
        <v>1669.113192004</v>
      </c>
      <c r="F26" s="805">
        <f t="shared" si="2"/>
        <v>15.544154220911237</v>
      </c>
      <c r="G26" s="805">
        <f t="shared" si="2"/>
        <v>1760.1840239903177</v>
      </c>
      <c r="H26" s="805">
        <f t="shared" si="2"/>
        <v>0</v>
      </c>
      <c r="I26" s="805">
        <f t="shared" si="2"/>
        <v>0</v>
      </c>
      <c r="J26" s="805">
        <f t="shared" si="2"/>
        <v>0</v>
      </c>
      <c r="K26" s="805">
        <f t="shared" si="2"/>
        <v>137.21779988702284</v>
      </c>
      <c r="L26" s="805">
        <f t="shared" si="2"/>
        <v>0</v>
      </c>
      <c r="M26" s="805">
        <f t="shared" si="2"/>
        <v>0</v>
      </c>
      <c r="N26" s="805">
        <f t="shared" si="2"/>
        <v>0</v>
      </c>
      <c r="O26" s="805">
        <f t="shared" si="2"/>
        <v>0</v>
      </c>
      <c r="P26" s="805">
        <f t="shared" si="2"/>
        <v>0</v>
      </c>
      <c r="Q26" s="805">
        <f t="shared" si="2"/>
        <v>0</v>
      </c>
      <c r="R26" s="805">
        <f t="shared" si="2"/>
        <v>4828.5388681022523</v>
      </c>
      <c r="S26" s="67"/>
    </row>
    <row r="27" spans="1:19" s="444" customFormat="1" ht="17.25" thickTop="1" thickBot="1">
      <c r="A27" s="690" t="s">
        <v>115</v>
      </c>
      <c r="B27" s="797"/>
      <c r="C27" s="691">
        <f ca="1">C22+C16+C26</f>
        <v>93480.334813832014</v>
      </c>
      <c r="D27" s="691">
        <f t="shared" ref="D27:R27" ca="1" si="3">D22+D16+D26</f>
        <v>205.71428571428572</v>
      </c>
      <c r="E27" s="691">
        <f t="shared" ca="1" si="3"/>
        <v>95856.647353638662</v>
      </c>
      <c r="F27" s="691">
        <f t="shared" si="3"/>
        <v>6028.7415845108717</v>
      </c>
      <c r="G27" s="691">
        <f t="shared" ca="1" si="3"/>
        <v>61194.085041241022</v>
      </c>
      <c r="H27" s="691">
        <f t="shared" si="3"/>
        <v>133751.37588616874</v>
      </c>
      <c r="I27" s="691">
        <f t="shared" si="3"/>
        <v>30038.591681470731</v>
      </c>
      <c r="J27" s="691">
        <f t="shared" si="3"/>
        <v>0</v>
      </c>
      <c r="K27" s="691">
        <f t="shared" si="3"/>
        <v>693.29262252751016</v>
      </c>
      <c r="L27" s="691">
        <f t="shared" si="3"/>
        <v>0</v>
      </c>
      <c r="M27" s="691">
        <f t="shared" ca="1" si="3"/>
        <v>0</v>
      </c>
      <c r="N27" s="691">
        <f t="shared" si="3"/>
        <v>9696.8449161459248</v>
      </c>
      <c r="O27" s="691">
        <f t="shared" ca="1" si="3"/>
        <v>13421.022636107175</v>
      </c>
      <c r="P27" s="691">
        <f t="shared" si="3"/>
        <v>532.63014712279153</v>
      </c>
      <c r="Q27" s="691">
        <f t="shared" si="3"/>
        <v>1969.5890740732391</v>
      </c>
      <c r="R27" s="691">
        <f t="shared" ca="1" si="3"/>
        <v>446868.87004255294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3436.2854721746248</v>
      </c>
      <c r="D40" s="681">
        <f ca="1">tertiair!C20</f>
        <v>48.887394957983197</v>
      </c>
      <c r="E40" s="681">
        <f ca="1">tertiair!D20</f>
        <v>2797.8362451085568</v>
      </c>
      <c r="F40" s="681">
        <f>tertiair!E20</f>
        <v>38.987634826259928</v>
      </c>
      <c r="G40" s="681">
        <f ca="1">tertiair!F20</f>
        <v>507.457092682618</v>
      </c>
      <c r="H40" s="681">
        <f>tertiair!G20</f>
        <v>0</v>
      </c>
      <c r="I40" s="681">
        <f>tertiair!H20</f>
        <v>0</v>
      </c>
      <c r="J40" s="681">
        <f>tertiair!I20</f>
        <v>0</v>
      </c>
      <c r="K40" s="681">
        <f>tertiair!J20</f>
        <v>1.8673484633856621E-2</v>
      </c>
      <c r="L40" s="681">
        <f>tertiair!K20</f>
        <v>0</v>
      </c>
      <c r="M40" s="681">
        <f ca="1">tertiair!L20</f>
        <v>0</v>
      </c>
      <c r="N40" s="681">
        <f>tertiair!M20</f>
        <v>0</v>
      </c>
      <c r="O40" s="681">
        <f ca="1">tertiair!N20</f>
        <v>0</v>
      </c>
      <c r="P40" s="681">
        <f>tertiair!O20</f>
        <v>0</v>
      </c>
      <c r="Q40" s="764">
        <f>tertiair!P20</f>
        <v>0</v>
      </c>
      <c r="R40" s="843">
        <f t="shared" ca="1" si="4"/>
        <v>6829.4725132346766</v>
      </c>
    </row>
    <row r="41" spans="1:18">
      <c r="A41" s="815" t="s">
        <v>219</v>
      </c>
      <c r="B41" s="822"/>
      <c r="C41" s="681">
        <f ca="1">huishoudens!B12</f>
        <v>6255.2303438943527</v>
      </c>
      <c r="D41" s="681">
        <f ca="1">huishoudens!C12</f>
        <v>0</v>
      </c>
      <c r="E41" s="681">
        <f>huishoudens!D12</f>
        <v>9176.4141561888409</v>
      </c>
      <c r="F41" s="681">
        <f>huishoudens!E12</f>
        <v>681.25747100204353</v>
      </c>
      <c r="G41" s="681">
        <f>huishoudens!F12</f>
        <v>12918.069767808389</v>
      </c>
      <c r="H41" s="681">
        <f>huishoudens!G12</f>
        <v>0</v>
      </c>
      <c r="I41" s="681">
        <f>huishoudens!H12</f>
        <v>0</v>
      </c>
      <c r="J41" s="681">
        <f>huishoudens!I12</f>
        <v>0</v>
      </c>
      <c r="K41" s="681">
        <f>huishoudens!J12</f>
        <v>68.422922070153277</v>
      </c>
      <c r="L41" s="681">
        <f>huishoudens!K12</f>
        <v>0</v>
      </c>
      <c r="M41" s="681">
        <f>huishoudens!L12</f>
        <v>0</v>
      </c>
      <c r="N41" s="681">
        <f>huishoudens!M12</f>
        <v>0</v>
      </c>
      <c r="O41" s="681">
        <f>huishoudens!N12</f>
        <v>0</v>
      </c>
      <c r="P41" s="681">
        <f>huishoudens!O12</f>
        <v>0</v>
      </c>
      <c r="Q41" s="764">
        <f>huishoudens!P12</f>
        <v>0</v>
      </c>
      <c r="R41" s="843">
        <f t="shared" ca="1" si="4"/>
        <v>29099.394660963779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9457.1974848243171</v>
      </c>
      <c r="D43" s="681">
        <f ca="1">industrie!C22</f>
        <v>0</v>
      </c>
      <c r="E43" s="681">
        <f>industrie!D22</f>
        <v>6984.7142807622413</v>
      </c>
      <c r="F43" s="681">
        <f>industrie!E22</f>
        <v>573.32409011986965</v>
      </c>
      <c r="G43" s="681">
        <f>industrie!F22</f>
        <v>2443.3247111149326</v>
      </c>
      <c r="H43" s="681">
        <f>industrie!G22</f>
        <v>0</v>
      </c>
      <c r="I43" s="681">
        <f>industrie!H22</f>
        <v>0</v>
      </c>
      <c r="J43" s="681">
        <f>industrie!I22</f>
        <v>0</v>
      </c>
      <c r="K43" s="681">
        <f>industrie!J22</f>
        <v>128.40889165994537</v>
      </c>
      <c r="L43" s="681">
        <f>industrie!K22</f>
        <v>0</v>
      </c>
      <c r="M43" s="681">
        <f>industrie!L22</f>
        <v>0</v>
      </c>
      <c r="N43" s="681">
        <f>industrie!M22</f>
        <v>0</v>
      </c>
      <c r="O43" s="681">
        <f>industrie!N22</f>
        <v>0</v>
      </c>
      <c r="P43" s="681">
        <f>industrie!O22</f>
        <v>0</v>
      </c>
      <c r="Q43" s="764">
        <f>industrie!P22</f>
        <v>0</v>
      </c>
      <c r="R43" s="842">
        <f t="shared" ca="1" si="4"/>
        <v>19586.969458481308</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19148.713300893294</v>
      </c>
      <c r="D46" s="717">
        <f t="shared" ref="D46:Q46" ca="1" si="5">SUM(D39:D45)</f>
        <v>48.887394957983197</v>
      </c>
      <c r="E46" s="717">
        <f t="shared" ca="1" si="5"/>
        <v>18958.964682059639</v>
      </c>
      <c r="F46" s="717">
        <f t="shared" si="5"/>
        <v>1293.5691959481733</v>
      </c>
      <c r="G46" s="717">
        <f t="shared" ca="1" si="5"/>
        <v>15868.851571605939</v>
      </c>
      <c r="H46" s="717">
        <f t="shared" si="5"/>
        <v>0</v>
      </c>
      <c r="I46" s="717">
        <f t="shared" si="5"/>
        <v>0</v>
      </c>
      <c r="J46" s="717">
        <f t="shared" si="5"/>
        <v>0</v>
      </c>
      <c r="K46" s="717">
        <f t="shared" si="5"/>
        <v>196.85048721473248</v>
      </c>
      <c r="L46" s="717">
        <f t="shared" si="5"/>
        <v>0</v>
      </c>
      <c r="M46" s="717">
        <f t="shared" ca="1" si="5"/>
        <v>0</v>
      </c>
      <c r="N46" s="717">
        <f t="shared" si="5"/>
        <v>0</v>
      </c>
      <c r="O46" s="717">
        <f t="shared" ca="1" si="5"/>
        <v>0</v>
      </c>
      <c r="P46" s="717">
        <f t="shared" si="5"/>
        <v>0</v>
      </c>
      <c r="Q46" s="717">
        <f t="shared" si="5"/>
        <v>0</v>
      </c>
      <c r="R46" s="717">
        <f ca="1">SUM(R39:R45)</f>
        <v>55515.83663267977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4.4944118206240384</v>
      </c>
      <c r="D49" s="681">
        <f ca="1">transport!C58</f>
        <v>0</v>
      </c>
      <c r="E49" s="681">
        <f>transport!D58</f>
        <v>0</v>
      </c>
      <c r="F49" s="681">
        <f>transport!E58</f>
        <v>0</v>
      </c>
      <c r="G49" s="681">
        <f>transport!F58</f>
        <v>0</v>
      </c>
      <c r="H49" s="681">
        <f>transport!G58</f>
        <v>417.72994072082855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422.22435254145262</v>
      </c>
    </row>
    <row r="50" spans="1:18">
      <c r="A50" s="818" t="s">
        <v>301</v>
      </c>
      <c r="B50" s="828"/>
      <c r="C50" s="687">
        <f ca="1">transport!B18</f>
        <v>43.48002189933095</v>
      </c>
      <c r="D50" s="687">
        <f>transport!C18</f>
        <v>0</v>
      </c>
      <c r="E50" s="687">
        <f>transport!D18</f>
        <v>66.91721859056149</v>
      </c>
      <c r="F50" s="687">
        <f>transport!E18</f>
        <v>71.426620727648199</v>
      </c>
      <c r="G50" s="687">
        <f>transport!F18</f>
        <v>0</v>
      </c>
      <c r="H50" s="687">
        <f>transport!G18</f>
        <v>35293.887420886233</v>
      </c>
      <c r="I50" s="687">
        <f>transport!H18</f>
        <v>7479.6093286862115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42955.320610789982</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47.974433719954988</v>
      </c>
      <c r="D52" s="717">
        <f t="shared" ref="D52:Q52" ca="1" si="6">SUM(D48:D51)</f>
        <v>0</v>
      </c>
      <c r="E52" s="717">
        <f t="shared" si="6"/>
        <v>66.91721859056149</v>
      </c>
      <c r="F52" s="717">
        <f t="shared" si="6"/>
        <v>71.426620727648199</v>
      </c>
      <c r="G52" s="717">
        <f t="shared" si="6"/>
        <v>0</v>
      </c>
      <c r="H52" s="717">
        <f t="shared" si="6"/>
        <v>35711.617361607059</v>
      </c>
      <c r="I52" s="717">
        <f t="shared" si="6"/>
        <v>7479.6093286862115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43377.544963331435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103.6606327874984</v>
      </c>
      <c r="D54" s="687">
        <f ca="1">+landbouw!C12</f>
        <v>0</v>
      </c>
      <c r="E54" s="687">
        <f>+landbouw!D12</f>
        <v>30.511262710808001</v>
      </c>
      <c r="F54" s="687">
        <f>+landbouw!E12</f>
        <v>3.528523008146851</v>
      </c>
      <c r="G54" s="687">
        <f>+landbouw!F12</f>
        <v>469.96913440541482</v>
      </c>
      <c r="H54" s="687">
        <f>+landbouw!G12</f>
        <v>0</v>
      </c>
      <c r="I54" s="687">
        <f>+landbouw!H12</f>
        <v>0</v>
      </c>
      <c r="J54" s="687">
        <f>+landbouw!I12</f>
        <v>0</v>
      </c>
      <c r="K54" s="687">
        <f>+landbouw!J12</f>
        <v>48.575101160006078</v>
      </c>
      <c r="L54" s="687">
        <f>+landbouw!K12</f>
        <v>0</v>
      </c>
      <c r="M54" s="687">
        <f>+landbouw!L12</f>
        <v>0</v>
      </c>
      <c r="N54" s="687">
        <f>+landbouw!M12</f>
        <v>0</v>
      </c>
      <c r="O54" s="687">
        <f>+landbouw!N12</f>
        <v>0</v>
      </c>
      <c r="P54" s="687">
        <f>+landbouw!O12</f>
        <v>0</v>
      </c>
      <c r="Q54" s="688">
        <f>+landbouw!P12</f>
        <v>0</v>
      </c>
      <c r="R54" s="716">
        <f ca="1">SUM(C54:Q54)</f>
        <v>656.24465407187415</v>
      </c>
    </row>
    <row r="55" spans="1:18" ht="15" thickBot="1">
      <c r="A55" s="818" t="s">
        <v>714</v>
      </c>
      <c r="B55" s="828"/>
      <c r="C55" s="687">
        <f ca="1">C25*'EF ele_warmte'!B12</f>
        <v>155.76993638897878</v>
      </c>
      <c r="D55" s="687"/>
      <c r="E55" s="687">
        <f>E25*EF_CO2_aardgas</f>
        <v>306.64960207400003</v>
      </c>
      <c r="F55" s="687"/>
      <c r="G55" s="687"/>
      <c r="H55" s="687"/>
      <c r="I55" s="687"/>
      <c r="J55" s="687"/>
      <c r="K55" s="687"/>
      <c r="L55" s="687"/>
      <c r="M55" s="687"/>
      <c r="N55" s="687"/>
      <c r="O55" s="687"/>
      <c r="P55" s="687"/>
      <c r="Q55" s="688"/>
      <c r="R55" s="716">
        <f ca="1">SUM(C55:Q55)</f>
        <v>462.41953846297884</v>
      </c>
    </row>
    <row r="56" spans="1:18" ht="15.75" thickBot="1">
      <c r="A56" s="816" t="s">
        <v>715</v>
      </c>
      <c r="B56" s="829"/>
      <c r="C56" s="717">
        <f ca="1">SUM(C54:C55)</f>
        <v>259.43056917647721</v>
      </c>
      <c r="D56" s="717">
        <f t="shared" ref="D56:Q56" ca="1" si="7">SUM(D54:D55)</f>
        <v>0</v>
      </c>
      <c r="E56" s="717">
        <f t="shared" si="7"/>
        <v>337.16086478480804</v>
      </c>
      <c r="F56" s="717">
        <f t="shared" si="7"/>
        <v>3.528523008146851</v>
      </c>
      <c r="G56" s="717">
        <f t="shared" si="7"/>
        <v>469.96913440541482</v>
      </c>
      <c r="H56" s="717">
        <f t="shared" si="7"/>
        <v>0</v>
      </c>
      <c r="I56" s="717">
        <f t="shared" si="7"/>
        <v>0</v>
      </c>
      <c r="J56" s="717">
        <f t="shared" si="7"/>
        <v>0</v>
      </c>
      <c r="K56" s="717">
        <f t="shared" si="7"/>
        <v>48.575101160006078</v>
      </c>
      <c r="L56" s="717">
        <f t="shared" si="7"/>
        <v>0</v>
      </c>
      <c r="M56" s="717">
        <f t="shared" si="7"/>
        <v>0</v>
      </c>
      <c r="N56" s="717">
        <f t="shared" si="7"/>
        <v>0</v>
      </c>
      <c r="O56" s="717">
        <f t="shared" si="7"/>
        <v>0</v>
      </c>
      <c r="P56" s="717">
        <f t="shared" si="7"/>
        <v>0</v>
      </c>
      <c r="Q56" s="718">
        <f t="shared" si="7"/>
        <v>0</v>
      </c>
      <c r="R56" s="719">
        <f ca="1">SUM(R54:R55)</f>
        <v>1118.6641925348531</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19456.118303789728</v>
      </c>
      <c r="D61" s="725">
        <f t="shared" ref="D61:Q61" ca="1" si="8">D46+D52+D56</f>
        <v>48.887394957983197</v>
      </c>
      <c r="E61" s="725">
        <f t="shared" ca="1" si="8"/>
        <v>19363.04276543501</v>
      </c>
      <c r="F61" s="725">
        <f t="shared" si="8"/>
        <v>1368.5243396839683</v>
      </c>
      <c r="G61" s="725">
        <f t="shared" ca="1" si="8"/>
        <v>16338.820706011355</v>
      </c>
      <c r="H61" s="725">
        <f t="shared" si="8"/>
        <v>35711.617361607059</v>
      </c>
      <c r="I61" s="725">
        <f t="shared" si="8"/>
        <v>7479.6093286862115</v>
      </c>
      <c r="J61" s="725">
        <f t="shared" si="8"/>
        <v>0</v>
      </c>
      <c r="K61" s="725">
        <f t="shared" si="8"/>
        <v>245.42558837473857</v>
      </c>
      <c r="L61" s="725">
        <f t="shared" si="8"/>
        <v>0</v>
      </c>
      <c r="M61" s="725">
        <f t="shared" ca="1" si="8"/>
        <v>0</v>
      </c>
      <c r="N61" s="725">
        <f t="shared" si="8"/>
        <v>0</v>
      </c>
      <c r="O61" s="725">
        <f t="shared" ca="1" si="8"/>
        <v>0</v>
      </c>
      <c r="P61" s="725">
        <f t="shared" si="8"/>
        <v>0</v>
      </c>
      <c r="Q61" s="725">
        <f t="shared" si="8"/>
        <v>0</v>
      </c>
      <c r="R61" s="725">
        <f ca="1">R46+R52+R56</f>
        <v>100012.04578854605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0.20813060139907483</v>
      </c>
      <c r="D63" s="771">
        <f t="shared" ca="1" si="9"/>
        <v>0.23764705882352943</v>
      </c>
      <c r="E63" s="969">
        <f t="shared" ca="1" si="9"/>
        <v>0.20200000000000001</v>
      </c>
      <c r="F63" s="771">
        <f t="shared" si="9"/>
        <v>0.22700000000000006</v>
      </c>
      <c r="G63" s="771">
        <f t="shared" ca="1" si="9"/>
        <v>0.26700000000000002</v>
      </c>
      <c r="H63" s="771">
        <f t="shared" si="9"/>
        <v>0.26700000000000007</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140.13039524833587</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5314.3169646509314</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144</v>
      </c>
      <c r="D76" s="952">
        <f>'lokale energieproductie'!C8</f>
        <v>169.41176470588235</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34.221176470588233</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5454.4473598992672</v>
      </c>
      <c r="C78" s="743">
        <f>SUM(C72:C77)</f>
        <v>144</v>
      </c>
      <c r="D78" s="744">
        <f t="shared" ref="D78:H78" si="10">SUM(D76:D77)</f>
        <v>169.41176470588235</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34.221176470588233</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205.71428571428572</v>
      </c>
      <c r="D87" s="767">
        <f>'lokale energieproductie'!C17</f>
        <v>242.0168067226891</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48.887394957983197</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205.71428571428572</v>
      </c>
      <c r="D90" s="743">
        <f t="shared" ref="D90:H90" si="12">SUM(D87:D89)</f>
        <v>242.0168067226891</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48.887394957983197</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30054.351939820794</v>
      </c>
      <c r="C4" s="448">
        <f>huishoudens!C8</f>
        <v>0</v>
      </c>
      <c r="D4" s="448">
        <f>huishoudens!D8</f>
        <v>45427.792852420003</v>
      </c>
      <c r="E4" s="448">
        <f>huishoudens!E8</f>
        <v>3001.1342334891783</v>
      </c>
      <c r="F4" s="448">
        <f>huishoudens!F8</f>
        <v>48382.28377456325</v>
      </c>
      <c r="G4" s="448">
        <f>huishoudens!G8</f>
        <v>0</v>
      </c>
      <c r="H4" s="448">
        <f>huishoudens!H8</f>
        <v>0</v>
      </c>
      <c r="I4" s="448">
        <f>huishoudens!I8</f>
        <v>0</v>
      </c>
      <c r="J4" s="448">
        <f>huishoudens!J8</f>
        <v>193.28509059365334</v>
      </c>
      <c r="K4" s="448">
        <f>huishoudens!K8</f>
        <v>0</v>
      </c>
      <c r="L4" s="448">
        <f>huishoudens!L8</f>
        <v>0</v>
      </c>
      <c r="M4" s="448">
        <f>huishoudens!M8</f>
        <v>0</v>
      </c>
      <c r="N4" s="448">
        <f>huishoudens!N8</f>
        <v>9513.5988863404909</v>
      </c>
      <c r="O4" s="448">
        <f>huishoudens!O8</f>
        <v>527.73288635695042</v>
      </c>
      <c r="P4" s="449">
        <f>huishoudens!P8</f>
        <v>1864.510797460249</v>
      </c>
      <c r="Q4" s="450">
        <f>SUM(B4:P4)</f>
        <v>138964.69046104455</v>
      </c>
    </row>
    <row r="5" spans="1:17">
      <c r="A5" s="447" t="s">
        <v>155</v>
      </c>
      <c r="B5" s="448">
        <f ca="1">tertiair!B16</f>
        <v>15909.173597000001</v>
      </c>
      <c r="C5" s="448">
        <f ca="1">tertiair!C16</f>
        <v>205.71428571428572</v>
      </c>
      <c r="D5" s="448">
        <f ca="1">tertiair!D16</f>
        <v>13850.67448073543</v>
      </c>
      <c r="E5" s="448">
        <f>tertiair!E16</f>
        <v>171.75169526986753</v>
      </c>
      <c r="F5" s="448">
        <f ca="1">tertiair!F16</f>
        <v>1900.5883621071835</v>
      </c>
      <c r="G5" s="448">
        <f>tertiair!G16</f>
        <v>0</v>
      </c>
      <c r="H5" s="448">
        <f>tertiair!H16</f>
        <v>0</v>
      </c>
      <c r="I5" s="448">
        <f>tertiair!I16</f>
        <v>0</v>
      </c>
      <c r="J5" s="448">
        <f>tertiair!J16</f>
        <v>5.2749956592815311E-2</v>
      </c>
      <c r="K5" s="448">
        <f>tertiair!K16</f>
        <v>0</v>
      </c>
      <c r="L5" s="448">
        <f ca="1">tertiair!L16</f>
        <v>0</v>
      </c>
      <c r="M5" s="448">
        <f>tertiair!M16</f>
        <v>0</v>
      </c>
      <c r="N5" s="448">
        <f ca="1">tertiair!N16</f>
        <v>2068.8049658694581</v>
      </c>
      <c r="O5" s="448">
        <f>tertiair!O16</f>
        <v>4.8972607658411542</v>
      </c>
      <c r="P5" s="449">
        <f>tertiair!P16</f>
        <v>105.07827661299004</v>
      </c>
      <c r="Q5" s="447">
        <f t="shared" ref="Q5:Q14" ca="1" si="0">SUM(B5:P5)</f>
        <v>34216.735674031661</v>
      </c>
    </row>
    <row r="6" spans="1:17">
      <c r="A6" s="447" t="s">
        <v>193</v>
      </c>
      <c r="B6" s="448">
        <f>'openbare verlichting'!B8</f>
        <v>601.06299999999999</v>
      </c>
      <c r="C6" s="448"/>
      <c r="D6" s="448"/>
      <c r="E6" s="448"/>
      <c r="F6" s="448"/>
      <c r="G6" s="448"/>
      <c r="H6" s="448"/>
      <c r="I6" s="448"/>
      <c r="J6" s="448"/>
      <c r="K6" s="448"/>
      <c r="L6" s="448"/>
      <c r="M6" s="448"/>
      <c r="N6" s="448"/>
      <c r="O6" s="448"/>
      <c r="P6" s="449"/>
      <c r="Q6" s="447">
        <f t="shared" si="0"/>
        <v>601.06299999999999</v>
      </c>
    </row>
    <row r="7" spans="1:17">
      <c r="A7" s="447" t="s">
        <v>111</v>
      </c>
      <c r="B7" s="448">
        <f>landbouw!B8</f>
        <v>498.055702</v>
      </c>
      <c r="C7" s="448">
        <f>landbouw!C8</f>
        <v>0</v>
      </c>
      <c r="D7" s="448">
        <f>landbouw!D8</f>
        <v>151.045855004</v>
      </c>
      <c r="E7" s="448">
        <f>landbouw!E8</f>
        <v>15.544154220911237</v>
      </c>
      <c r="F7" s="448">
        <f>landbouw!F8</f>
        <v>1760.1840239903177</v>
      </c>
      <c r="G7" s="448">
        <f>landbouw!G8</f>
        <v>0</v>
      </c>
      <c r="H7" s="448">
        <f>landbouw!H8</f>
        <v>0</v>
      </c>
      <c r="I7" s="448">
        <f>landbouw!I8</f>
        <v>0</v>
      </c>
      <c r="J7" s="448">
        <f>landbouw!J8</f>
        <v>137.21779988702284</v>
      </c>
      <c r="K7" s="448">
        <f>landbouw!K8</f>
        <v>0</v>
      </c>
      <c r="L7" s="448">
        <f>landbouw!L8</f>
        <v>0</v>
      </c>
      <c r="M7" s="448">
        <f>landbouw!M8</f>
        <v>0</v>
      </c>
      <c r="N7" s="448">
        <f>landbouw!N8</f>
        <v>0</v>
      </c>
      <c r="O7" s="448">
        <f>landbouw!O8</f>
        <v>0</v>
      </c>
      <c r="P7" s="449">
        <f>landbouw!P8</f>
        <v>0</v>
      </c>
      <c r="Q7" s="447">
        <f t="shared" si="0"/>
        <v>2562.0475351022519</v>
      </c>
    </row>
    <row r="8" spans="1:17">
      <c r="A8" s="447" t="s">
        <v>618</v>
      </c>
      <c r="B8" s="448">
        <f>industrie!B18</f>
        <v>45438.764992999997</v>
      </c>
      <c r="C8" s="448">
        <f>industrie!C18</f>
        <v>0</v>
      </c>
      <c r="D8" s="448">
        <f>industrie!D18</f>
        <v>34577.793469120006</v>
      </c>
      <c r="E8" s="448">
        <f>industrie!E18</f>
        <v>2525.6567846690291</v>
      </c>
      <c r="F8" s="448">
        <f>industrie!F18</f>
        <v>9151.028880580272</v>
      </c>
      <c r="G8" s="448">
        <f>industrie!G18</f>
        <v>0</v>
      </c>
      <c r="H8" s="448">
        <f>industrie!H18</f>
        <v>0</v>
      </c>
      <c r="I8" s="448">
        <f>industrie!I18</f>
        <v>0</v>
      </c>
      <c r="J8" s="448">
        <f>industrie!J18</f>
        <v>362.73698209024116</v>
      </c>
      <c r="K8" s="448">
        <f>industrie!K18</f>
        <v>0</v>
      </c>
      <c r="L8" s="448">
        <f>industrie!L18</f>
        <v>0</v>
      </c>
      <c r="M8" s="448">
        <f>industrie!M18</f>
        <v>0</v>
      </c>
      <c r="N8" s="448">
        <f>industrie!N18</f>
        <v>1838.6187838972253</v>
      </c>
      <c r="O8" s="448">
        <f>industrie!O18</f>
        <v>0</v>
      </c>
      <c r="P8" s="449">
        <f>industrie!P18</f>
        <v>0</v>
      </c>
      <c r="Q8" s="447">
        <f t="shared" si="0"/>
        <v>93894.599893356775</v>
      </c>
    </row>
    <row r="9" spans="1:17" s="453" customFormat="1">
      <c r="A9" s="451" t="s">
        <v>544</v>
      </c>
      <c r="B9" s="452">
        <f>transport!B14</f>
        <v>208.90739567874149</v>
      </c>
      <c r="C9" s="452">
        <f>transport!C14</f>
        <v>0</v>
      </c>
      <c r="D9" s="452">
        <f>transport!D14</f>
        <v>331.27335935921531</v>
      </c>
      <c r="E9" s="452">
        <f>transport!E14</f>
        <v>314.6547168618863</v>
      </c>
      <c r="F9" s="452">
        <f>transport!F14</f>
        <v>0</v>
      </c>
      <c r="G9" s="452">
        <f>transport!G14</f>
        <v>132186.84427298213</v>
      </c>
      <c r="H9" s="452">
        <f>transport!H14</f>
        <v>30038.591681470731</v>
      </c>
      <c r="I9" s="452">
        <f>transport!I14</f>
        <v>0</v>
      </c>
      <c r="J9" s="452">
        <f>transport!J14</f>
        <v>0</v>
      </c>
      <c r="K9" s="452">
        <f>transport!K14</f>
        <v>0</v>
      </c>
      <c r="L9" s="452">
        <f>transport!L14</f>
        <v>0</v>
      </c>
      <c r="M9" s="452">
        <f>transport!M14</f>
        <v>9608.3503489273062</v>
      </c>
      <c r="N9" s="452">
        <f>transport!N14</f>
        <v>0</v>
      </c>
      <c r="O9" s="452">
        <f>transport!O14</f>
        <v>0</v>
      </c>
      <c r="P9" s="452">
        <f>transport!P14</f>
        <v>0</v>
      </c>
      <c r="Q9" s="451">
        <f>SUM(B9:P9)</f>
        <v>172688.62177527999</v>
      </c>
    </row>
    <row r="10" spans="1:17">
      <c r="A10" s="447" t="s">
        <v>534</v>
      </c>
      <c r="B10" s="448">
        <f>transport!B54</f>
        <v>21.59419033247466</v>
      </c>
      <c r="C10" s="448">
        <f>transport!C54</f>
        <v>0</v>
      </c>
      <c r="D10" s="448">
        <f>transport!D54</f>
        <v>0</v>
      </c>
      <c r="E10" s="448">
        <f>transport!E54</f>
        <v>0</v>
      </c>
      <c r="F10" s="448">
        <f>transport!F54</f>
        <v>0</v>
      </c>
      <c r="G10" s="448">
        <f>transport!G54</f>
        <v>1564.5316131866236</v>
      </c>
      <c r="H10" s="448">
        <f>transport!H54</f>
        <v>0</v>
      </c>
      <c r="I10" s="448">
        <f>transport!I54</f>
        <v>0</v>
      </c>
      <c r="J10" s="448">
        <f>transport!J54</f>
        <v>0</v>
      </c>
      <c r="K10" s="448">
        <f>transport!K54</f>
        <v>0</v>
      </c>
      <c r="L10" s="448">
        <f>transport!L54</f>
        <v>0</v>
      </c>
      <c r="M10" s="448">
        <f>transport!M54</f>
        <v>88.49456721861803</v>
      </c>
      <c r="N10" s="448">
        <f>transport!N54</f>
        <v>0</v>
      </c>
      <c r="O10" s="448">
        <f>transport!O54</f>
        <v>0</v>
      </c>
      <c r="P10" s="449">
        <f>transport!P54</f>
        <v>0</v>
      </c>
      <c r="Q10" s="447">
        <f t="shared" si="0"/>
        <v>1674.6203707377163</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748.42399599999999</v>
      </c>
      <c r="C14" s="455"/>
      <c r="D14" s="455">
        <f>'SEAP template'!E25</f>
        <v>1518.067337</v>
      </c>
      <c r="E14" s="455"/>
      <c r="F14" s="455"/>
      <c r="G14" s="455"/>
      <c r="H14" s="455"/>
      <c r="I14" s="455"/>
      <c r="J14" s="455"/>
      <c r="K14" s="455"/>
      <c r="L14" s="455"/>
      <c r="M14" s="455"/>
      <c r="N14" s="455"/>
      <c r="O14" s="455"/>
      <c r="P14" s="456"/>
      <c r="Q14" s="447">
        <f t="shared" si="0"/>
        <v>2266.4913329999999</v>
      </c>
    </row>
    <row r="15" spans="1:17" s="459" customFormat="1">
      <c r="A15" s="457" t="s">
        <v>538</v>
      </c>
      <c r="B15" s="458">
        <f ca="1">SUM(B4:B14)</f>
        <v>93480.334813832</v>
      </c>
      <c r="C15" s="458">
        <f t="shared" ref="C15:Q15" ca="1" si="1">SUM(C4:C14)</f>
        <v>205.71428571428572</v>
      </c>
      <c r="D15" s="458">
        <f t="shared" ca="1" si="1"/>
        <v>95856.647353638647</v>
      </c>
      <c r="E15" s="458">
        <f t="shared" si="1"/>
        <v>6028.7415845108726</v>
      </c>
      <c r="F15" s="458">
        <f t="shared" ca="1" si="1"/>
        <v>61194.085041241022</v>
      </c>
      <c r="G15" s="458">
        <f t="shared" si="1"/>
        <v>133751.37588616874</v>
      </c>
      <c r="H15" s="458">
        <f t="shared" si="1"/>
        <v>30038.591681470731</v>
      </c>
      <c r="I15" s="458">
        <f t="shared" si="1"/>
        <v>0</v>
      </c>
      <c r="J15" s="458">
        <f t="shared" si="1"/>
        <v>693.29262252751005</v>
      </c>
      <c r="K15" s="458">
        <f t="shared" si="1"/>
        <v>0</v>
      </c>
      <c r="L15" s="458">
        <f t="shared" ca="1" si="1"/>
        <v>0</v>
      </c>
      <c r="M15" s="458">
        <f t="shared" si="1"/>
        <v>9696.8449161459248</v>
      </c>
      <c r="N15" s="458">
        <f t="shared" ca="1" si="1"/>
        <v>13421.022636107175</v>
      </c>
      <c r="O15" s="458">
        <f t="shared" si="1"/>
        <v>532.63014712279153</v>
      </c>
      <c r="P15" s="458">
        <f t="shared" si="1"/>
        <v>1969.5890740732391</v>
      </c>
      <c r="Q15" s="458">
        <f t="shared" ca="1" si="1"/>
        <v>446868.870042553</v>
      </c>
    </row>
    <row r="17" spans="1:17">
      <c r="A17" s="460" t="s">
        <v>539</v>
      </c>
      <c r="B17" s="776">
        <f ca="1">huishoudens!B10</f>
        <v>0.20813060139907483</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6255.2303438943527</v>
      </c>
      <c r="C22" s="448">
        <f t="shared" ref="C22:C32" ca="1" si="3">C4*$C$17</f>
        <v>0</v>
      </c>
      <c r="D22" s="448">
        <f t="shared" ref="D22:D32" si="4">D4*$D$17</f>
        <v>9176.4141561888409</v>
      </c>
      <c r="E22" s="448">
        <f t="shared" ref="E22:E32" si="5">E4*$E$17</f>
        <v>681.25747100204353</v>
      </c>
      <c r="F22" s="448">
        <f t="shared" ref="F22:F32" si="6">F4*$F$17</f>
        <v>12918.069767808389</v>
      </c>
      <c r="G22" s="448">
        <f t="shared" ref="G22:G32" si="7">G4*$G$17</f>
        <v>0</v>
      </c>
      <c r="H22" s="448">
        <f t="shared" ref="H22:H32" si="8">H4*$H$17</f>
        <v>0</v>
      </c>
      <c r="I22" s="448">
        <f t="shared" ref="I22:I32" si="9">I4*$I$17</f>
        <v>0</v>
      </c>
      <c r="J22" s="448">
        <f t="shared" ref="J22:J32" si="10">J4*$J$17</f>
        <v>68.422922070153277</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29099.394660963779</v>
      </c>
    </row>
    <row r="23" spans="1:17">
      <c r="A23" s="447" t="s">
        <v>155</v>
      </c>
      <c r="B23" s="448">
        <f t="shared" ca="1" si="2"/>
        <v>3311.1858685058928</v>
      </c>
      <c r="C23" s="448">
        <f t="shared" ca="1" si="3"/>
        <v>48.887394957983197</v>
      </c>
      <c r="D23" s="448">
        <f t="shared" ca="1" si="4"/>
        <v>2797.8362451085568</v>
      </c>
      <c r="E23" s="448">
        <f t="shared" si="5"/>
        <v>38.987634826259928</v>
      </c>
      <c r="F23" s="448">
        <f t="shared" ca="1" si="6"/>
        <v>507.457092682618</v>
      </c>
      <c r="G23" s="448">
        <f t="shared" si="7"/>
        <v>0</v>
      </c>
      <c r="H23" s="448">
        <f t="shared" si="8"/>
        <v>0</v>
      </c>
      <c r="I23" s="448">
        <f t="shared" si="9"/>
        <v>0</v>
      </c>
      <c r="J23" s="448">
        <f t="shared" si="10"/>
        <v>1.8673484633856621E-2</v>
      </c>
      <c r="K23" s="448">
        <f t="shared" si="11"/>
        <v>0</v>
      </c>
      <c r="L23" s="448">
        <f t="shared" ca="1" si="12"/>
        <v>0</v>
      </c>
      <c r="M23" s="448">
        <f t="shared" si="13"/>
        <v>0</v>
      </c>
      <c r="N23" s="448">
        <f t="shared" ca="1" si="14"/>
        <v>0</v>
      </c>
      <c r="O23" s="448">
        <f t="shared" si="15"/>
        <v>0</v>
      </c>
      <c r="P23" s="449">
        <f t="shared" si="16"/>
        <v>0</v>
      </c>
      <c r="Q23" s="447">
        <f t="shared" ref="Q23:Q31" ca="1" si="17">SUM(B23:P23)</f>
        <v>6704.3729095659446</v>
      </c>
    </row>
    <row r="24" spans="1:17">
      <c r="A24" s="447" t="s">
        <v>193</v>
      </c>
      <c r="B24" s="448">
        <f t="shared" ca="1" si="2"/>
        <v>125.09960366873212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125.09960366873212</v>
      </c>
    </row>
    <row r="25" spans="1:17">
      <c r="A25" s="447" t="s">
        <v>111</v>
      </c>
      <c r="B25" s="448">
        <f t="shared" ca="1" si="2"/>
        <v>103.6606327874984</v>
      </c>
      <c r="C25" s="448">
        <f t="shared" ca="1" si="3"/>
        <v>0</v>
      </c>
      <c r="D25" s="448">
        <f t="shared" si="4"/>
        <v>30.511262710808001</v>
      </c>
      <c r="E25" s="448">
        <f t="shared" si="5"/>
        <v>3.528523008146851</v>
      </c>
      <c r="F25" s="448">
        <f t="shared" si="6"/>
        <v>469.96913440541482</v>
      </c>
      <c r="G25" s="448">
        <f t="shared" si="7"/>
        <v>0</v>
      </c>
      <c r="H25" s="448">
        <f t="shared" si="8"/>
        <v>0</v>
      </c>
      <c r="I25" s="448">
        <f t="shared" si="9"/>
        <v>0</v>
      </c>
      <c r="J25" s="448">
        <f t="shared" si="10"/>
        <v>48.575101160006078</v>
      </c>
      <c r="K25" s="448">
        <f t="shared" si="11"/>
        <v>0</v>
      </c>
      <c r="L25" s="448">
        <f t="shared" si="12"/>
        <v>0</v>
      </c>
      <c r="M25" s="448">
        <f t="shared" si="13"/>
        <v>0</v>
      </c>
      <c r="N25" s="448">
        <f t="shared" si="14"/>
        <v>0</v>
      </c>
      <c r="O25" s="448">
        <f t="shared" si="15"/>
        <v>0</v>
      </c>
      <c r="P25" s="449">
        <f t="shared" si="16"/>
        <v>0</v>
      </c>
      <c r="Q25" s="447">
        <f t="shared" ca="1" si="17"/>
        <v>656.24465407187415</v>
      </c>
    </row>
    <row r="26" spans="1:17">
      <c r="A26" s="447" t="s">
        <v>618</v>
      </c>
      <c r="B26" s="448">
        <f t="shared" ca="1" si="2"/>
        <v>9457.1974848243171</v>
      </c>
      <c r="C26" s="448">
        <f t="shared" ca="1" si="3"/>
        <v>0</v>
      </c>
      <c r="D26" s="448">
        <f t="shared" si="4"/>
        <v>6984.7142807622413</v>
      </c>
      <c r="E26" s="448">
        <f t="shared" si="5"/>
        <v>573.32409011986965</v>
      </c>
      <c r="F26" s="448">
        <f t="shared" si="6"/>
        <v>2443.3247111149326</v>
      </c>
      <c r="G26" s="448">
        <f t="shared" si="7"/>
        <v>0</v>
      </c>
      <c r="H26" s="448">
        <f t="shared" si="8"/>
        <v>0</v>
      </c>
      <c r="I26" s="448">
        <f t="shared" si="9"/>
        <v>0</v>
      </c>
      <c r="J26" s="448">
        <f t="shared" si="10"/>
        <v>128.40889165994537</v>
      </c>
      <c r="K26" s="448">
        <f t="shared" si="11"/>
        <v>0</v>
      </c>
      <c r="L26" s="448">
        <f t="shared" si="12"/>
        <v>0</v>
      </c>
      <c r="M26" s="448">
        <f t="shared" si="13"/>
        <v>0</v>
      </c>
      <c r="N26" s="448">
        <f t="shared" si="14"/>
        <v>0</v>
      </c>
      <c r="O26" s="448">
        <f t="shared" si="15"/>
        <v>0</v>
      </c>
      <c r="P26" s="449">
        <f t="shared" si="16"/>
        <v>0</v>
      </c>
      <c r="Q26" s="447">
        <f t="shared" ca="1" si="17"/>
        <v>19586.969458481308</v>
      </c>
    </row>
    <row r="27" spans="1:17" s="453" customFormat="1">
      <c r="A27" s="451" t="s">
        <v>544</v>
      </c>
      <c r="B27" s="770">
        <f t="shared" ca="1" si="2"/>
        <v>43.48002189933095</v>
      </c>
      <c r="C27" s="452">
        <f t="shared" ca="1" si="3"/>
        <v>0</v>
      </c>
      <c r="D27" s="452">
        <f t="shared" si="4"/>
        <v>66.91721859056149</v>
      </c>
      <c r="E27" s="452">
        <f t="shared" si="5"/>
        <v>71.426620727648199</v>
      </c>
      <c r="F27" s="452">
        <f t="shared" si="6"/>
        <v>0</v>
      </c>
      <c r="G27" s="452">
        <f t="shared" si="7"/>
        <v>35293.887420886233</v>
      </c>
      <c r="H27" s="452">
        <f t="shared" si="8"/>
        <v>7479.6093286862115</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42955.320610789982</v>
      </c>
    </row>
    <row r="28" spans="1:17" ht="16.5" customHeight="1">
      <c r="A28" s="447" t="s">
        <v>534</v>
      </c>
      <c r="B28" s="448">
        <f t="shared" ca="1" si="2"/>
        <v>4.4944118206240384</v>
      </c>
      <c r="C28" s="448">
        <f t="shared" ca="1" si="3"/>
        <v>0</v>
      </c>
      <c r="D28" s="448">
        <f t="shared" si="4"/>
        <v>0</v>
      </c>
      <c r="E28" s="448">
        <f t="shared" si="5"/>
        <v>0</v>
      </c>
      <c r="F28" s="448">
        <f t="shared" si="6"/>
        <v>0</v>
      </c>
      <c r="G28" s="448">
        <f t="shared" si="7"/>
        <v>417.72994072082855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422.22435254145262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155.76993638897878</v>
      </c>
      <c r="C32" s="448">
        <f t="shared" ca="1" si="3"/>
        <v>0</v>
      </c>
      <c r="D32" s="448">
        <f t="shared" si="4"/>
        <v>306.64960207400003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462.41953846297884</v>
      </c>
    </row>
    <row r="33" spans="1:17" s="459" customFormat="1">
      <c r="A33" s="457" t="s">
        <v>538</v>
      </c>
      <c r="B33" s="458">
        <f ca="1">SUM(B22:B32)</f>
        <v>19456.118303789728</v>
      </c>
      <c r="C33" s="458">
        <f t="shared" ref="C33:Q33" ca="1" si="19">SUM(C22:C32)</f>
        <v>48.887394957983197</v>
      </c>
      <c r="D33" s="458">
        <f t="shared" ca="1" si="19"/>
        <v>19363.042765435013</v>
      </c>
      <c r="E33" s="458">
        <f t="shared" si="19"/>
        <v>1368.5243396839683</v>
      </c>
      <c r="F33" s="458">
        <f t="shared" ca="1" si="19"/>
        <v>16338.820706011355</v>
      </c>
      <c r="G33" s="458">
        <f t="shared" si="19"/>
        <v>35711.617361607059</v>
      </c>
      <c r="H33" s="458">
        <f t="shared" si="19"/>
        <v>7479.6093286862115</v>
      </c>
      <c r="I33" s="458">
        <f t="shared" si="19"/>
        <v>0</v>
      </c>
      <c r="J33" s="458">
        <f t="shared" si="19"/>
        <v>245.42558837473857</v>
      </c>
      <c r="K33" s="458">
        <f t="shared" si="19"/>
        <v>0</v>
      </c>
      <c r="L33" s="458">
        <f t="shared" ca="1" si="19"/>
        <v>0</v>
      </c>
      <c r="M33" s="458">
        <f t="shared" si="19"/>
        <v>0</v>
      </c>
      <c r="N33" s="458">
        <f t="shared" ca="1" si="19"/>
        <v>0</v>
      </c>
      <c r="O33" s="458">
        <f t="shared" si="19"/>
        <v>0</v>
      </c>
      <c r="P33" s="458">
        <f t="shared" si="19"/>
        <v>0</v>
      </c>
      <c r="Q33" s="458">
        <f t="shared" ca="1" si="19"/>
        <v>100012.04578854606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140.13039524833587</v>
      </c>
      <c r="C5" s="1021"/>
      <c r="D5" s="1021"/>
      <c r="E5" s="1021"/>
      <c r="F5" s="1021"/>
      <c r="G5" s="1021"/>
      <c r="H5" s="1021"/>
      <c r="I5" s="1021"/>
      <c r="J5" s="1021"/>
      <c r="K5" s="1021"/>
      <c r="L5" s="1021"/>
      <c r="M5" s="1021"/>
      <c r="N5" s="1021"/>
      <c r="O5" s="1021"/>
      <c r="P5" s="1022">
        <f>'SEAP template'!Q73</f>
        <v>0</v>
      </c>
    </row>
    <row r="6" spans="1:16">
      <c r="A6" s="1026" t="s">
        <v>245</v>
      </c>
      <c r="B6" s="1021">
        <f>'SEAP template'!B74</f>
        <v>5314.3169646509314</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144</v>
      </c>
      <c r="D8" s="1021">
        <f>'SEAP template'!D76</f>
        <v>169.41176470588235</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34.221176470588233</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5454.4473598992672</v>
      </c>
      <c r="C10" s="1023">
        <f>SUM(C4:C9)</f>
        <v>144</v>
      </c>
      <c r="D10" s="1023">
        <f t="shared" ref="D10:H10" si="0">SUM(D8:D9)</f>
        <v>169.41176470588235</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34.221176470588233</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0.20813060139907483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205.71428571428572</v>
      </c>
      <c r="D17" s="1022">
        <f>'SEAP template'!D87</f>
        <v>242.0168067226891</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48.887394957983197</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205.71428571428572</v>
      </c>
      <c r="D20" s="1023">
        <f t="shared" ref="D20:H20" si="2">SUM(D17:D19)</f>
        <v>242.0168067226891</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48.887394957983197</v>
      </c>
    </row>
    <row r="21" spans="1:16">
      <c r="B21" s="881"/>
    </row>
    <row r="22" spans="1:16">
      <c r="A22" s="460" t="s">
        <v>786</v>
      </c>
      <c r="B22" s="776" t="s">
        <v>784</v>
      </c>
      <c r="C22" s="776">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0.20813060139907483</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0.20813060139907483</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0.20813060139907483</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6589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930.31</v>
      </c>
      <c r="C14" s="326"/>
      <c r="D14" s="326"/>
      <c r="E14" s="326"/>
      <c r="F14" s="326"/>
    </row>
    <row r="15" spans="1:6">
      <c r="A15" s="1298" t="s">
        <v>183</v>
      </c>
      <c r="B15" s="1299">
        <v>0</v>
      </c>
      <c r="C15" s="326"/>
      <c r="D15" s="326"/>
      <c r="E15" s="326"/>
      <c r="F15" s="326"/>
    </row>
    <row r="16" spans="1:6">
      <c r="A16" s="1298" t="s">
        <v>6</v>
      </c>
      <c r="B16" s="1299">
        <v>0</v>
      </c>
      <c r="C16" s="326"/>
      <c r="D16" s="326"/>
      <c r="E16" s="326"/>
      <c r="F16" s="326"/>
    </row>
    <row r="17" spans="1:6">
      <c r="A17" s="1298" t="s">
        <v>7</v>
      </c>
      <c r="B17" s="1299">
        <v>28</v>
      </c>
      <c r="C17" s="326"/>
      <c r="D17" s="326"/>
      <c r="E17" s="326"/>
      <c r="F17" s="326"/>
    </row>
    <row r="18" spans="1:6">
      <c r="A18" s="1298" t="s">
        <v>8</v>
      </c>
      <c r="B18" s="1299">
        <v>23</v>
      </c>
      <c r="C18" s="326"/>
      <c r="D18" s="326"/>
      <c r="E18" s="326"/>
      <c r="F18" s="326"/>
    </row>
    <row r="19" spans="1:6">
      <c r="A19" s="1298" t="s">
        <v>9</v>
      </c>
      <c r="B19" s="1299">
        <v>30</v>
      </c>
      <c r="C19" s="326"/>
      <c r="D19" s="326"/>
      <c r="E19" s="326"/>
      <c r="F19" s="326"/>
    </row>
    <row r="20" spans="1:6">
      <c r="A20" s="1298" t="s">
        <v>10</v>
      </c>
      <c r="B20" s="1299">
        <v>177</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263</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44</v>
      </c>
      <c r="C29" s="332"/>
      <c r="D29" s="332"/>
      <c r="E29" s="332"/>
      <c r="F29" s="332"/>
    </row>
    <row r="30" spans="1:6">
      <c r="A30" s="1293" t="s">
        <v>696</v>
      </c>
      <c r="B30" s="1302">
        <v>7</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4</v>
      </c>
      <c r="F36" s="1299">
        <v>26871.25</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635</v>
      </c>
    </row>
    <row r="39" spans="1:6">
      <c r="A39" s="1298" t="s">
        <v>29</v>
      </c>
      <c r="B39" s="1298" t="s">
        <v>30</v>
      </c>
      <c r="C39" s="1299">
        <v>3087</v>
      </c>
      <c r="D39" s="1299">
        <v>50363406.710000001</v>
      </c>
      <c r="E39" s="1299">
        <v>6473</v>
      </c>
      <c r="F39" s="1299">
        <v>25622450.66</v>
      </c>
    </row>
    <row r="40" spans="1:6">
      <c r="A40" s="1298" t="s">
        <v>29</v>
      </c>
      <c r="B40" s="1298" t="s">
        <v>28</v>
      </c>
      <c r="C40" s="1299">
        <v>0</v>
      </c>
      <c r="D40" s="1299">
        <v>0</v>
      </c>
      <c r="E40" s="1299">
        <v>0</v>
      </c>
      <c r="F40" s="1299">
        <v>0</v>
      </c>
    </row>
    <row r="41" spans="1:6">
      <c r="A41" s="1298" t="s">
        <v>31</v>
      </c>
      <c r="B41" s="1298" t="s">
        <v>32</v>
      </c>
      <c r="C41" s="1299">
        <v>27</v>
      </c>
      <c r="D41" s="1299">
        <v>255189.5</v>
      </c>
      <c r="E41" s="1299">
        <v>134</v>
      </c>
      <c r="F41" s="1299">
        <v>1659294.3</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3</v>
      </c>
      <c r="F44" s="1299">
        <v>62697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15031.183000000001</v>
      </c>
    </row>
    <row r="48" spans="1:6">
      <c r="A48" s="1298" t="s">
        <v>31</v>
      </c>
      <c r="B48" s="1298" t="s">
        <v>28</v>
      </c>
      <c r="C48" s="1299">
        <v>44</v>
      </c>
      <c r="D48" s="1299">
        <v>38079393.060000002</v>
      </c>
      <c r="E48" s="1299">
        <v>56</v>
      </c>
      <c r="F48" s="1299">
        <v>43701742.509999998</v>
      </c>
    </row>
    <row r="49" spans="1:6">
      <c r="A49" s="1298" t="s">
        <v>31</v>
      </c>
      <c r="B49" s="1298" t="s">
        <v>39</v>
      </c>
      <c r="C49" s="1299">
        <v>0</v>
      </c>
      <c r="D49" s="1299">
        <v>0</v>
      </c>
      <c r="E49" s="1299">
        <v>0</v>
      </c>
      <c r="F49" s="1299">
        <v>0</v>
      </c>
    </row>
    <row r="50" spans="1:6">
      <c r="A50" s="1298" t="s">
        <v>31</v>
      </c>
      <c r="B50" s="1298" t="s">
        <v>40</v>
      </c>
      <c r="C50" s="1299">
        <v>0</v>
      </c>
      <c r="D50" s="1299">
        <v>0</v>
      </c>
      <c r="E50" s="1299">
        <v>0</v>
      </c>
      <c r="F50" s="1299">
        <v>0</v>
      </c>
    </row>
    <row r="51" spans="1:6">
      <c r="A51" s="1298" t="s">
        <v>41</v>
      </c>
      <c r="B51" s="1298" t="s">
        <v>42</v>
      </c>
      <c r="C51" s="1299">
        <v>3</v>
      </c>
      <c r="D51" s="1299">
        <v>85802.051000000007</v>
      </c>
      <c r="E51" s="1299">
        <v>10</v>
      </c>
      <c r="F51" s="1299">
        <v>355119.90399999998</v>
      </c>
    </row>
    <row r="52" spans="1:6">
      <c r="A52" s="1298" t="s">
        <v>41</v>
      </c>
      <c r="B52" s="1298" t="s">
        <v>28</v>
      </c>
      <c r="C52" s="1299">
        <v>3</v>
      </c>
      <c r="D52" s="1299">
        <v>81654.551000000007</v>
      </c>
      <c r="E52" s="1299">
        <v>19</v>
      </c>
      <c r="F52" s="1299">
        <v>142935.79800000001</v>
      </c>
    </row>
    <row r="53" spans="1:6">
      <c r="A53" s="1298" t="s">
        <v>43</v>
      </c>
      <c r="B53" s="1298" t="s">
        <v>44</v>
      </c>
      <c r="C53" s="1299">
        <v>85</v>
      </c>
      <c r="D53" s="1299">
        <v>1518067.3370000001</v>
      </c>
      <c r="E53" s="1299">
        <v>231</v>
      </c>
      <c r="F53" s="1299">
        <v>748423.99600000004</v>
      </c>
    </row>
    <row r="54" spans="1:6">
      <c r="A54" s="1298" t="s">
        <v>45</v>
      </c>
      <c r="B54" s="1298" t="s">
        <v>46</v>
      </c>
      <c r="C54" s="1299">
        <v>0</v>
      </c>
      <c r="D54" s="1299">
        <v>0</v>
      </c>
      <c r="E54" s="1299">
        <v>1</v>
      </c>
      <c r="F54" s="1299">
        <v>601063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16</v>
      </c>
      <c r="D57" s="1299">
        <v>415956.45699999999</v>
      </c>
      <c r="E57" s="1299">
        <v>66</v>
      </c>
      <c r="F57" s="1299">
        <v>2026328.7279999999</v>
      </c>
    </row>
    <row r="58" spans="1:6">
      <c r="A58" s="1298" t="s">
        <v>48</v>
      </c>
      <c r="B58" s="1298" t="s">
        <v>50</v>
      </c>
      <c r="C58" s="1299">
        <v>13</v>
      </c>
      <c r="D58" s="1299">
        <v>255440.842</v>
      </c>
      <c r="E58" s="1299">
        <v>23</v>
      </c>
      <c r="F58" s="1299">
        <v>188496.99900000001</v>
      </c>
    </row>
    <row r="59" spans="1:6">
      <c r="A59" s="1298" t="s">
        <v>48</v>
      </c>
      <c r="B59" s="1298" t="s">
        <v>51</v>
      </c>
      <c r="C59" s="1299">
        <v>6</v>
      </c>
      <c r="D59" s="1299">
        <v>520880.65700000001</v>
      </c>
      <c r="E59" s="1299">
        <v>33</v>
      </c>
      <c r="F59" s="1299">
        <v>507592.891</v>
      </c>
    </row>
    <row r="60" spans="1:6">
      <c r="A60" s="1298" t="s">
        <v>48</v>
      </c>
      <c r="B60" s="1298" t="s">
        <v>52</v>
      </c>
      <c r="C60" s="1299">
        <v>27</v>
      </c>
      <c r="D60" s="1299">
        <v>1353709.8670000001</v>
      </c>
      <c r="E60" s="1299">
        <v>48</v>
      </c>
      <c r="F60" s="1299">
        <v>940965.21799999999</v>
      </c>
    </row>
    <row r="61" spans="1:6">
      <c r="A61" s="1298" t="s">
        <v>48</v>
      </c>
      <c r="B61" s="1298" t="s">
        <v>53</v>
      </c>
      <c r="C61" s="1299">
        <v>70</v>
      </c>
      <c r="D61" s="1299">
        <v>3646803.22</v>
      </c>
      <c r="E61" s="1299">
        <v>253</v>
      </c>
      <c r="F61" s="1299">
        <v>2491006.4730000002</v>
      </c>
    </row>
    <row r="62" spans="1:6">
      <c r="A62" s="1298" t="s">
        <v>48</v>
      </c>
      <c r="B62" s="1298" t="s">
        <v>54</v>
      </c>
      <c r="C62" s="1299">
        <v>3</v>
      </c>
      <c r="D62" s="1299">
        <v>98054.274999999994</v>
      </c>
      <c r="E62" s="1299">
        <v>4</v>
      </c>
      <c r="F62" s="1299">
        <v>35309.224999999999</v>
      </c>
    </row>
    <row r="63" spans="1:6">
      <c r="A63" s="1298" t="s">
        <v>48</v>
      </c>
      <c r="B63" s="1298" t="s">
        <v>28</v>
      </c>
      <c r="C63" s="1299">
        <v>159</v>
      </c>
      <c r="D63" s="1299">
        <v>9520798.8640000001</v>
      </c>
      <c r="E63" s="1299">
        <v>243</v>
      </c>
      <c r="F63" s="1299">
        <v>9575474.0629999992</v>
      </c>
    </row>
    <row r="64" spans="1:6">
      <c r="A64" s="1298" t="s">
        <v>55</v>
      </c>
      <c r="B64" s="1298" t="s">
        <v>56</v>
      </c>
      <c r="C64" s="1299">
        <v>0</v>
      </c>
      <c r="D64" s="1299">
        <v>0</v>
      </c>
      <c r="E64" s="1299">
        <v>0</v>
      </c>
      <c r="F64" s="1299">
        <v>0</v>
      </c>
    </row>
    <row r="65" spans="1:6">
      <c r="A65" s="1298" t="s">
        <v>55</v>
      </c>
      <c r="B65" s="1298" t="s">
        <v>28</v>
      </c>
      <c r="C65" s="1299">
        <v>1</v>
      </c>
      <c r="D65" s="1299">
        <v>37530.665000000001</v>
      </c>
      <c r="E65" s="1299">
        <v>4</v>
      </c>
      <c r="F65" s="1299">
        <v>83727.737999999998</v>
      </c>
    </row>
    <row r="66" spans="1:6">
      <c r="A66" s="1298" t="s">
        <v>55</v>
      </c>
      <c r="B66" s="1298" t="s">
        <v>57</v>
      </c>
      <c r="C66" s="1299">
        <v>0</v>
      </c>
      <c r="D66" s="1299">
        <v>0</v>
      </c>
      <c r="E66" s="1299">
        <v>4</v>
      </c>
      <c r="F66" s="1299">
        <v>32113</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85019848</v>
      </c>
      <c r="E73" s="446"/>
      <c r="F73" s="326"/>
    </row>
    <row r="74" spans="1:6">
      <c r="A74" s="1298" t="s">
        <v>63</v>
      </c>
      <c r="B74" s="1298" t="s">
        <v>639</v>
      </c>
      <c r="C74" s="1312" t="s">
        <v>641</v>
      </c>
      <c r="D74" s="1313">
        <v>5432323</v>
      </c>
      <c r="E74" s="446"/>
      <c r="F74" s="326"/>
    </row>
    <row r="75" spans="1:6">
      <c r="A75" s="1298" t="s">
        <v>64</v>
      </c>
      <c r="B75" s="1298" t="s">
        <v>638</v>
      </c>
      <c r="C75" s="1312" t="s">
        <v>642</v>
      </c>
      <c r="D75" s="1313">
        <v>23794720</v>
      </c>
      <c r="E75" s="446"/>
      <c r="F75" s="326"/>
    </row>
    <row r="76" spans="1:6">
      <c r="A76" s="1298" t="s">
        <v>64</v>
      </c>
      <c r="B76" s="1298" t="s">
        <v>639</v>
      </c>
      <c r="C76" s="1312" t="s">
        <v>643</v>
      </c>
      <c r="D76" s="1313">
        <v>248753</v>
      </c>
      <c r="E76" s="446"/>
      <c r="F76" s="326"/>
    </row>
    <row r="77" spans="1:6">
      <c r="A77" s="1298" t="s">
        <v>65</v>
      </c>
      <c r="B77" s="1298" t="s">
        <v>638</v>
      </c>
      <c r="C77" s="1312" t="s">
        <v>644</v>
      </c>
      <c r="D77" s="1313">
        <v>91891175</v>
      </c>
      <c r="E77" s="446"/>
      <c r="F77" s="326"/>
    </row>
    <row r="78" spans="1:6">
      <c r="A78" s="1293" t="s">
        <v>65</v>
      </c>
      <c r="B78" s="1293" t="s">
        <v>639</v>
      </c>
      <c r="C78" s="1293" t="s">
        <v>645</v>
      </c>
      <c r="D78" s="1314">
        <v>9643416</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458880</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140.13039524833587</v>
      </c>
      <c r="C89" s="326"/>
      <c r="D89" s="326"/>
      <c r="E89" s="326"/>
      <c r="F89" s="326"/>
    </row>
    <row r="90" spans="1:6">
      <c r="A90" s="1298" t="s">
        <v>532</v>
      </c>
      <c r="B90" s="1299">
        <v>0</v>
      </c>
      <c r="C90" s="326"/>
      <c r="D90" s="326"/>
      <c r="E90" s="326"/>
      <c r="F90" s="326"/>
    </row>
    <row r="91" spans="1:6">
      <c r="A91" s="1298" t="s">
        <v>67</v>
      </c>
      <c r="B91" s="1299">
        <v>4431.901279820795</v>
      </c>
      <c r="C91" s="326"/>
      <c r="D91" s="326"/>
      <c r="E91" s="326"/>
      <c r="F91" s="326"/>
    </row>
    <row r="92" spans="1:6">
      <c r="A92" s="1293" t="s">
        <v>68</v>
      </c>
      <c r="B92" s="1294">
        <v>882.41568483013657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1003</v>
      </c>
      <c r="C97" s="326"/>
      <c r="D97" s="326"/>
      <c r="E97" s="326"/>
      <c r="F97" s="326"/>
    </row>
    <row r="98" spans="1:6">
      <c r="A98" s="1298" t="s">
        <v>71</v>
      </c>
      <c r="B98" s="1299">
        <v>4</v>
      </c>
      <c r="C98" s="326"/>
      <c r="D98" s="326"/>
      <c r="E98" s="326"/>
      <c r="F98" s="326"/>
    </row>
    <row r="99" spans="1:6">
      <c r="A99" s="1298" t="s">
        <v>72</v>
      </c>
      <c r="B99" s="1299">
        <v>252</v>
      </c>
      <c r="C99" s="326"/>
      <c r="D99" s="326"/>
      <c r="E99" s="326"/>
      <c r="F99" s="326"/>
    </row>
    <row r="100" spans="1:6">
      <c r="A100" s="1298" t="s">
        <v>73</v>
      </c>
      <c r="B100" s="1299">
        <v>479</v>
      </c>
      <c r="C100" s="326"/>
      <c r="D100" s="326"/>
      <c r="E100" s="326"/>
      <c r="F100" s="326"/>
    </row>
    <row r="101" spans="1:6">
      <c r="A101" s="1298" t="s">
        <v>74</v>
      </c>
      <c r="B101" s="1299">
        <v>73</v>
      </c>
      <c r="C101" s="326"/>
      <c r="D101" s="326"/>
      <c r="E101" s="326"/>
      <c r="F101" s="326"/>
    </row>
    <row r="102" spans="1:6">
      <c r="A102" s="1298" t="s">
        <v>75</v>
      </c>
      <c r="B102" s="1299">
        <v>50</v>
      </c>
      <c r="C102" s="326"/>
      <c r="D102" s="326"/>
      <c r="E102" s="326"/>
      <c r="F102" s="326"/>
    </row>
    <row r="103" spans="1:6">
      <c r="A103" s="1298" t="s">
        <v>76</v>
      </c>
      <c r="B103" s="1299">
        <v>111</v>
      </c>
      <c r="C103" s="326"/>
      <c r="D103" s="326"/>
      <c r="E103" s="326"/>
      <c r="F103" s="326"/>
    </row>
    <row r="104" spans="1:6">
      <c r="A104" s="1298" t="s">
        <v>77</v>
      </c>
      <c r="B104" s="1299">
        <v>3569</v>
      </c>
      <c r="C104" s="326"/>
      <c r="D104" s="326"/>
      <c r="E104" s="326"/>
      <c r="F104" s="326"/>
    </row>
    <row r="105" spans="1:6">
      <c r="A105" s="1293" t="s">
        <v>78</v>
      </c>
      <c r="B105" s="1302">
        <v>16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2</v>
      </c>
      <c r="C121" s="1299">
        <v>0</v>
      </c>
      <c r="D121" s="326"/>
      <c r="E121" s="326"/>
      <c r="F121" s="326"/>
    </row>
    <row r="122" spans="1:6">
      <c r="A122" s="1298" t="s">
        <v>86</v>
      </c>
      <c r="B122" s="1299">
        <v>0</v>
      </c>
      <c r="C122" s="1299">
        <v>0</v>
      </c>
      <c r="D122" s="326"/>
      <c r="E122" s="326"/>
      <c r="F122" s="326"/>
    </row>
    <row r="123" spans="1:6">
      <c r="A123" s="1298" t="s">
        <v>87</v>
      </c>
      <c r="B123" s="1299">
        <v>133</v>
      </c>
      <c r="C123" s="1299">
        <v>46</v>
      </c>
      <c r="D123" s="326"/>
      <c r="E123" s="326"/>
      <c r="F123" s="326"/>
    </row>
    <row r="124" spans="1:6" s="43" customFormat="1">
      <c r="A124" s="1300" t="s">
        <v>88</v>
      </c>
      <c r="B124" s="1321">
        <v>2</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220</v>
      </c>
      <c r="C129" s="326"/>
      <c r="D129" s="326"/>
      <c r="E129" s="326"/>
      <c r="F129" s="326"/>
    </row>
    <row r="130" spans="1:6">
      <c r="A130" s="1298" t="s">
        <v>289</v>
      </c>
      <c r="B130" s="1299">
        <v>1</v>
      </c>
      <c r="C130" s="326"/>
      <c r="D130" s="326"/>
      <c r="E130" s="326"/>
      <c r="F130" s="326"/>
    </row>
    <row r="131" spans="1:6">
      <c r="A131" s="1298" t="s">
        <v>290</v>
      </c>
      <c r="B131" s="1299">
        <v>0</v>
      </c>
      <c r="C131" s="326"/>
      <c r="D131" s="326"/>
      <c r="E131" s="326"/>
      <c r="F131" s="326"/>
    </row>
    <row r="132" spans="1:6">
      <c r="A132" s="1293" t="s">
        <v>291</v>
      </c>
      <c r="B132" s="1294">
        <v>42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93480.334813832014</v>
      </c>
      <c r="C3" s="43" t="s">
        <v>169</v>
      </c>
      <c r="D3" s="43"/>
      <c r="E3" s="154"/>
      <c r="F3" s="43"/>
      <c r="G3" s="43"/>
      <c r="H3" s="43"/>
      <c r="I3" s="43"/>
      <c r="J3" s="43"/>
      <c r="K3" s="96"/>
    </row>
    <row r="4" spans="1:11">
      <c r="A4" s="354" t="s">
        <v>170</v>
      </c>
      <c r="B4" s="49">
        <f>IF(ISERROR('SEAP template'!B78+'SEAP template'!C78),0,'SEAP template'!B78+'SEAP template'!C78)</f>
        <v>5598.4473598992672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34.221176470588233</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0.20813060139907483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48.887394957983197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205.71428571428572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601.06299999999999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601.06299999999999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0.20813060139907483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125.09960366873212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25622.450659999999</v>
      </c>
      <c r="C5" s="17">
        <f>IF(ISERROR('Eigen informatie GS &amp; warmtenet'!B59),0,'Eigen informatie GS &amp; warmtenet'!B59)</f>
        <v>0</v>
      </c>
      <c r="D5" s="30">
        <f>(SUM(HH_hh_gas_kWh,HH_rest_gas_kWh)/1000)*0.902</f>
        <v>45427.792852420003</v>
      </c>
      <c r="E5" s="17">
        <f>B32*B41</f>
        <v>3001.1342334891783</v>
      </c>
      <c r="F5" s="17">
        <f>B36*B45</f>
        <v>48382.28377456325</v>
      </c>
      <c r="G5" s="18"/>
      <c r="H5" s="17"/>
      <c r="I5" s="17"/>
      <c r="J5" s="17">
        <f>B35*B44+C35*C44</f>
        <v>193.28509059365334</v>
      </c>
      <c r="K5" s="17"/>
      <c r="L5" s="17"/>
      <c r="M5" s="17"/>
      <c r="N5" s="17">
        <f>B34*B43+C34*C43</f>
        <v>9513.5988863404909</v>
      </c>
      <c r="O5" s="17">
        <f>B52*B53*B54</f>
        <v>527.73288635695042</v>
      </c>
      <c r="P5" s="17">
        <f>B60*B61*B62/1000-B60*B61*B62/1000/B63</f>
        <v>1864.510797460249</v>
      </c>
    </row>
    <row r="6" spans="1:16">
      <c r="A6" s="16" t="s">
        <v>604</v>
      </c>
      <c r="B6" s="778">
        <f>kWh_PV_kleiner_dan_10kW</f>
        <v>4431.901279820795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30054.351939820794</v>
      </c>
      <c r="C8" s="21">
        <f>C5</f>
        <v>0</v>
      </c>
      <c r="D8" s="21">
        <f>D5</f>
        <v>45427.792852420003</v>
      </c>
      <c r="E8" s="21">
        <f>E5</f>
        <v>3001.1342334891783</v>
      </c>
      <c r="F8" s="21">
        <f>F5</f>
        <v>48382.28377456325</v>
      </c>
      <c r="G8" s="21"/>
      <c r="H8" s="21"/>
      <c r="I8" s="21"/>
      <c r="J8" s="21">
        <f>J5</f>
        <v>193.28509059365334</v>
      </c>
      <c r="K8" s="21"/>
      <c r="L8" s="21">
        <f>L5</f>
        <v>0</v>
      </c>
      <c r="M8" s="21">
        <f>M5</f>
        <v>0</v>
      </c>
      <c r="N8" s="21">
        <f>N5</f>
        <v>9513.5988863404909</v>
      </c>
      <c r="O8" s="21">
        <f>O5</f>
        <v>527.73288635695042</v>
      </c>
      <c r="P8" s="21">
        <f>P5</f>
        <v>1864.510797460249</v>
      </c>
    </row>
    <row r="9" spans="1:16">
      <c r="B9" s="19"/>
      <c r="C9" s="19"/>
      <c r="D9" s="256"/>
      <c r="E9" s="19"/>
      <c r="F9" s="19"/>
      <c r="G9" s="19"/>
      <c r="H9" s="19"/>
      <c r="I9" s="19"/>
      <c r="J9" s="19"/>
      <c r="K9" s="19"/>
      <c r="L9" s="19"/>
      <c r="M9" s="19"/>
      <c r="N9" s="19"/>
      <c r="O9" s="19"/>
      <c r="P9" s="19"/>
    </row>
    <row r="10" spans="1:16">
      <c r="A10" s="24" t="s">
        <v>213</v>
      </c>
      <c r="B10" s="25">
        <f ca="1">'EF ele_warmte'!B12</f>
        <v>0.20813060139907483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6255.2303438943527</v>
      </c>
      <c r="C12" s="23">
        <f ca="1">C10*C8</f>
        <v>0</v>
      </c>
      <c r="D12" s="23">
        <f>D8*D10</f>
        <v>9176.4141561888409</v>
      </c>
      <c r="E12" s="23">
        <f>E10*E8</f>
        <v>681.25747100204353</v>
      </c>
      <c r="F12" s="23">
        <f>F10*F8</f>
        <v>12918.069767808389</v>
      </c>
      <c r="G12" s="23"/>
      <c r="H12" s="23"/>
      <c r="I12" s="23"/>
      <c r="J12" s="23">
        <f>J10*J8</f>
        <v>68.422922070153277</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6589</v>
      </c>
      <c r="C26" s="36"/>
      <c r="D26" s="226"/>
    </row>
    <row r="27" spans="1:7" s="15" customFormat="1">
      <c r="A27" s="228" t="s">
        <v>806</v>
      </c>
      <c r="B27" s="37">
        <f>SUM(HH_hh_gas_aantal,HH_rest_gas_aantal)</f>
        <v>3087</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2932.65</v>
      </c>
      <c r="C31" s="166" t="s">
        <v>110</v>
      </c>
      <c r="D31" s="231"/>
      <c r="G31" s="15"/>
    </row>
    <row r="32" spans="1:7">
      <c r="A32" s="169" t="s">
        <v>72</v>
      </c>
      <c r="B32" s="166">
        <f>IF((B21*($B$26-($B$27-0.05*$B$27)-$B$60))&lt;0,0,B21*($B$26-($B$27-0.05*$B$27)-$B$60))</f>
        <v>55.235372575741692</v>
      </c>
      <c r="C32" s="166" t="s">
        <v>110</v>
      </c>
      <c r="D32" s="231"/>
      <c r="G32" s="15"/>
    </row>
    <row r="33" spans="1:7">
      <c r="A33" s="169" t="s">
        <v>73</v>
      </c>
      <c r="B33" s="166">
        <f>IF((B22*($B$26-($B$27-0.05*$B$27)-$B$60))&lt;0,0,B22*($B$26-($B$27-0.05*$B$27)-$B$60))</f>
        <v>896.91305577395303</v>
      </c>
      <c r="C33" s="166" t="s">
        <v>110</v>
      </c>
      <c r="D33" s="231"/>
      <c r="G33" s="15"/>
    </row>
    <row r="34" spans="1:7">
      <c r="A34" s="169" t="s">
        <v>74</v>
      </c>
      <c r="B34" s="166">
        <f>IF((B24*($B$26-($B$27-0.05*$B$27)-$B$60))&lt;0,0,B24*($B$26-($B$27-0.05*$B$27)-$B$60))</f>
        <v>171.95023569863284</v>
      </c>
      <c r="C34" s="166">
        <f>B26*C24</f>
        <v>1350.1252373853195</v>
      </c>
      <c r="D34" s="231"/>
      <c r="G34" s="15"/>
    </row>
    <row r="35" spans="1:7">
      <c r="A35" s="169" t="s">
        <v>76</v>
      </c>
      <c r="B35" s="166">
        <f>IF((B19*($B$26-($B$27-0.05*$B$27)-$B$60))&lt;0,0,B19*($B$26-($B$27-0.05*$B$27)-$B$60))</f>
        <v>24.010684773942298</v>
      </c>
      <c r="C35" s="166">
        <f>B35/2</f>
        <v>12.005342386971149</v>
      </c>
      <c r="D35" s="232"/>
      <c r="G35" s="15"/>
    </row>
    <row r="36" spans="1:7">
      <c r="A36" s="169" t="s">
        <v>77</v>
      </c>
      <c r="B36" s="166">
        <f>IF((B18*($B$26-($B$27-0.05*$B$27)-$B$60))&lt;0,0,B18*($B$26-($B$27-0.05*$B$27)-$B$60))</f>
        <v>2331.2406511777294</v>
      </c>
      <c r="C36" s="166" t="s">
        <v>110</v>
      </c>
      <c r="D36" s="232"/>
      <c r="G36" s="15"/>
    </row>
    <row r="37" spans="1:7">
      <c r="A37" s="169" t="s">
        <v>78</v>
      </c>
      <c r="B37" s="166">
        <f>B60</f>
        <v>177</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266</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177</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15765.173597000001</v>
      </c>
      <c r="C5" s="17">
        <f>IF(ISERROR('Eigen informatie GS &amp; warmtenet'!B60),0,'Eigen informatie GS &amp; warmtenet'!B60)</f>
        <v>0</v>
      </c>
      <c r="D5" s="30">
        <f>SUM(D6:D12)</f>
        <v>14262.103052164</v>
      </c>
      <c r="E5" s="17">
        <f>SUM(E6:E12)</f>
        <v>171.75169526986753</v>
      </c>
      <c r="F5" s="17">
        <f>SUM(F6:F12)</f>
        <v>1900.5883621071835</v>
      </c>
      <c r="G5" s="18"/>
      <c r="H5" s="17"/>
      <c r="I5" s="17"/>
      <c r="J5" s="17">
        <f>SUM(J6:J12)</f>
        <v>5.2749956592815311E-2</v>
      </c>
      <c r="K5" s="17"/>
      <c r="L5" s="17"/>
      <c r="M5" s="17"/>
      <c r="N5" s="17">
        <f>SUM(N6:N12)</f>
        <v>2068.8049658694581</v>
      </c>
      <c r="O5" s="17">
        <f>B38*B39*B40</f>
        <v>4.8972607658411542</v>
      </c>
      <c r="P5" s="17">
        <f>B46*B47*B48/1000-B46*B47*B48/1000/B49</f>
        <v>105.07827661299004</v>
      </c>
      <c r="R5" s="32"/>
    </row>
    <row r="6" spans="1:18">
      <c r="A6" s="32" t="s">
        <v>53</v>
      </c>
      <c r="B6" s="37">
        <f>B26</f>
        <v>2491.0064730000004</v>
      </c>
      <c r="C6" s="33"/>
      <c r="D6" s="37">
        <f>IF(ISERROR(TER_kantoor_gas_kWh/1000),0,TER_kantoor_gas_kWh/1000)*0.902</f>
        <v>3289.4165044400002</v>
      </c>
      <c r="E6" s="33">
        <f>$C$26*'E Balans VL '!I12/100/3.6*1000000</f>
        <v>20.044330408633872</v>
      </c>
      <c r="F6" s="33">
        <f>$C$26*('E Balans VL '!L12+'E Balans VL '!N12)/100/3.6*1000000</f>
        <v>304.55174587339025</v>
      </c>
      <c r="G6" s="34"/>
      <c r="H6" s="33"/>
      <c r="I6" s="33"/>
      <c r="J6" s="33">
        <f>$C$26*('E Balans VL '!D12+'E Balans VL '!E12)/100/3.6*1000000</f>
        <v>0</v>
      </c>
      <c r="K6" s="33"/>
      <c r="L6" s="33"/>
      <c r="M6" s="33"/>
      <c r="N6" s="33">
        <f>$C$26*'E Balans VL '!Y12/100/3.6*1000000</f>
        <v>1.3387933104457004</v>
      </c>
      <c r="O6" s="33"/>
      <c r="P6" s="33"/>
      <c r="R6" s="32"/>
    </row>
    <row r="7" spans="1:18">
      <c r="A7" s="32" t="s">
        <v>52</v>
      </c>
      <c r="B7" s="37">
        <f t="shared" ref="B7:B12" si="0">B27</f>
        <v>940.96521800000005</v>
      </c>
      <c r="C7" s="33"/>
      <c r="D7" s="37">
        <f>IF(ISERROR(TER_horeca_gas_kWh/1000),0,TER_horeca_gas_kWh/1000)*0.902</f>
        <v>1221.0463000340001</v>
      </c>
      <c r="E7" s="33">
        <f>$C$27*'E Balans VL '!I9/100/3.6*1000000</f>
        <v>10.103655834703947</v>
      </c>
      <c r="F7" s="33">
        <f>$C$27*('E Balans VL '!L9+'E Balans VL '!N9)/100/3.6*1000000</f>
        <v>113.17529854898225</v>
      </c>
      <c r="G7" s="34"/>
      <c r="H7" s="33"/>
      <c r="I7" s="33"/>
      <c r="J7" s="33">
        <f>$C$27*('E Balans VL '!D9+'E Balans VL '!E9)/100/3.6*1000000</f>
        <v>0</v>
      </c>
      <c r="K7" s="33"/>
      <c r="L7" s="33"/>
      <c r="M7" s="33"/>
      <c r="N7" s="33">
        <f>$C$27*'E Balans VL '!Y9/100/3.6*1000000</f>
        <v>0.14106975732903623</v>
      </c>
      <c r="O7" s="33"/>
      <c r="P7" s="33"/>
      <c r="R7" s="32"/>
    </row>
    <row r="8" spans="1:18">
      <c r="A8" s="6" t="s">
        <v>51</v>
      </c>
      <c r="B8" s="37">
        <f t="shared" si="0"/>
        <v>507.59289100000001</v>
      </c>
      <c r="C8" s="33"/>
      <c r="D8" s="37">
        <f>IF(ISERROR(TER_handel_gas_kWh/1000),0,TER_handel_gas_kWh/1000)*0.902</f>
        <v>469.83435261400007</v>
      </c>
      <c r="E8" s="33">
        <f>$C$28*'E Balans VL '!I13/100/3.6*1000000</f>
        <v>13.622239213879052</v>
      </c>
      <c r="F8" s="33">
        <f>$C$28*('E Balans VL '!L13+'E Balans VL '!N13)/100/3.6*1000000</f>
        <v>48.440006217688037</v>
      </c>
      <c r="G8" s="34"/>
      <c r="H8" s="33"/>
      <c r="I8" s="33"/>
      <c r="J8" s="33">
        <f>$C$28*('E Balans VL '!D13+'E Balans VL '!E13)/100/3.6*1000000</f>
        <v>0</v>
      </c>
      <c r="K8" s="33"/>
      <c r="L8" s="33"/>
      <c r="M8" s="33"/>
      <c r="N8" s="33">
        <f>$C$28*'E Balans VL '!Y13/100/3.6*1000000</f>
        <v>0.20121559351923796</v>
      </c>
      <c r="O8" s="33"/>
      <c r="P8" s="33"/>
      <c r="R8" s="32"/>
    </row>
    <row r="9" spans="1:18">
      <c r="A9" s="32" t="s">
        <v>50</v>
      </c>
      <c r="B9" s="37">
        <f t="shared" si="0"/>
        <v>188.49699900000002</v>
      </c>
      <c r="C9" s="33"/>
      <c r="D9" s="37">
        <f>IF(ISERROR(TER_gezond_gas_kWh/1000),0,TER_gezond_gas_kWh/1000)*0.902</f>
        <v>230.40763948400001</v>
      </c>
      <c r="E9" s="33">
        <f>$C$29*'E Balans VL '!I10/100/3.6*1000000</f>
        <v>0.35330475341410933</v>
      </c>
      <c r="F9" s="33">
        <f>$C$29*('E Balans VL '!L10+'E Balans VL '!N10)/100/3.6*1000000</f>
        <v>15.496173220391682</v>
      </c>
      <c r="G9" s="34"/>
      <c r="H9" s="33"/>
      <c r="I9" s="33"/>
      <c r="J9" s="33">
        <f>$C$29*('E Balans VL '!D10+'E Balans VL '!E10)/100/3.6*1000000</f>
        <v>0</v>
      </c>
      <c r="K9" s="33"/>
      <c r="L9" s="33"/>
      <c r="M9" s="33"/>
      <c r="N9" s="33">
        <f>$C$29*'E Balans VL '!Y10/100/3.6*1000000</f>
        <v>1.4666472911892392</v>
      </c>
      <c r="O9" s="33"/>
      <c r="P9" s="33"/>
      <c r="R9" s="32"/>
    </row>
    <row r="10" spans="1:18">
      <c r="A10" s="32" t="s">
        <v>49</v>
      </c>
      <c r="B10" s="37">
        <f t="shared" si="0"/>
        <v>2026.328728</v>
      </c>
      <c r="C10" s="33"/>
      <c r="D10" s="37">
        <f>IF(ISERROR(TER_ander_gas_kWh/1000),0,TER_ander_gas_kWh/1000)*0.902</f>
        <v>375.19272421400001</v>
      </c>
      <c r="E10" s="33">
        <f>$C$30*'E Balans VL '!I14/100/3.6*1000000</f>
        <v>3.1236062666837476</v>
      </c>
      <c r="F10" s="33">
        <f>$C$30*('E Balans VL '!L14+'E Balans VL '!N14)/100/3.6*1000000</f>
        <v>314.58809442080047</v>
      </c>
      <c r="G10" s="34"/>
      <c r="H10" s="33"/>
      <c r="I10" s="33"/>
      <c r="J10" s="33">
        <f>$C$30*('E Balans VL '!D14+'E Balans VL '!E14)/100/3.6*1000000</f>
        <v>3.4399067174329161E-2</v>
      </c>
      <c r="K10" s="33"/>
      <c r="L10" s="33"/>
      <c r="M10" s="33"/>
      <c r="N10" s="33">
        <f>$C$30*'E Balans VL '!Y14/100/3.6*1000000</f>
        <v>1340.5541430965566</v>
      </c>
      <c r="O10" s="33"/>
      <c r="P10" s="33"/>
      <c r="R10" s="32"/>
    </row>
    <row r="11" spans="1:18">
      <c r="A11" s="32" t="s">
        <v>54</v>
      </c>
      <c r="B11" s="37">
        <f t="shared" si="0"/>
        <v>35.309224999999998</v>
      </c>
      <c r="C11" s="33"/>
      <c r="D11" s="37">
        <f>IF(ISERROR(TER_onderwijs_gas_kWh/1000),0,TER_onderwijs_gas_kWh/1000)*0.902</f>
        <v>88.444956049999988</v>
      </c>
      <c r="E11" s="33">
        <f>$C$31*'E Balans VL '!I11/100/3.6*1000000</f>
        <v>0.90062640149936768</v>
      </c>
      <c r="F11" s="33">
        <f>$C$31*('E Balans VL '!L11+'E Balans VL '!N11)/100/3.6*1000000</f>
        <v>4.2462666493317665</v>
      </c>
      <c r="G11" s="34"/>
      <c r="H11" s="33"/>
      <c r="I11" s="33"/>
      <c r="J11" s="33">
        <f>$C$31*('E Balans VL '!D11+'E Balans VL '!E11)/100/3.6*1000000</f>
        <v>0</v>
      </c>
      <c r="K11" s="33"/>
      <c r="L11" s="33"/>
      <c r="M11" s="33"/>
      <c r="N11" s="33">
        <f>$C$31*'E Balans VL '!Y11/100/3.6*1000000</f>
        <v>7.8526854847486255E-2</v>
      </c>
      <c r="O11" s="33"/>
      <c r="P11" s="33"/>
      <c r="R11" s="32"/>
    </row>
    <row r="12" spans="1:18">
      <c r="A12" s="32" t="s">
        <v>254</v>
      </c>
      <c r="B12" s="37">
        <f t="shared" si="0"/>
        <v>9575.4740629999997</v>
      </c>
      <c r="C12" s="33"/>
      <c r="D12" s="37">
        <f>IF(ISERROR(TER_rest_gas_kWh/1000),0,TER_rest_gas_kWh/1000)*0.902</f>
        <v>8587.7605753280004</v>
      </c>
      <c r="E12" s="33">
        <f>$C$32*'E Balans VL '!I8/100/3.6*1000000</f>
        <v>123.60393239105343</v>
      </c>
      <c r="F12" s="33">
        <f>$C$32*('E Balans VL '!L8+'E Balans VL '!N8)/100/3.6*1000000</f>
        <v>1100.090777176599</v>
      </c>
      <c r="G12" s="34"/>
      <c r="H12" s="33"/>
      <c r="I12" s="33"/>
      <c r="J12" s="33">
        <f>$C$32*('E Balans VL '!D8+'E Balans VL '!E8)/100/3.6*1000000</f>
        <v>1.8350889418486154E-2</v>
      </c>
      <c r="K12" s="33"/>
      <c r="L12" s="33"/>
      <c r="M12" s="33"/>
      <c r="N12" s="33">
        <f>$C$32*'E Balans VL '!Y8/100/3.6*1000000</f>
        <v>725.024569965571</v>
      </c>
      <c r="O12" s="33"/>
      <c r="P12" s="33"/>
      <c r="R12" s="32"/>
    </row>
    <row r="13" spans="1:18">
      <c r="A13" s="16" t="s">
        <v>471</v>
      </c>
      <c r="B13" s="245">
        <f ca="1">'lokale energieproductie'!N39+'lokale energieproductie'!N32</f>
        <v>144</v>
      </c>
      <c r="C13" s="245">
        <f ca="1">'lokale energieproductie'!O39+'lokale energieproductie'!O32</f>
        <v>205.71428571428572</v>
      </c>
      <c r="D13" s="304">
        <f ca="1">('lokale energieproductie'!P32+'lokale energieproductie'!P39)*(-1)</f>
        <v>-411.42857142857144</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15909.173597000001</v>
      </c>
      <c r="C16" s="21">
        <f t="shared" ca="1" si="1"/>
        <v>205.71428571428572</v>
      </c>
      <c r="D16" s="21">
        <f t="shared" ca="1" si="1"/>
        <v>13850.67448073543</v>
      </c>
      <c r="E16" s="21">
        <f t="shared" si="1"/>
        <v>171.75169526986753</v>
      </c>
      <c r="F16" s="21">
        <f t="shared" ca="1" si="1"/>
        <v>1900.5883621071835</v>
      </c>
      <c r="G16" s="21">
        <f t="shared" si="1"/>
        <v>0</v>
      </c>
      <c r="H16" s="21">
        <f t="shared" si="1"/>
        <v>0</v>
      </c>
      <c r="I16" s="21">
        <f t="shared" si="1"/>
        <v>0</v>
      </c>
      <c r="J16" s="21">
        <f t="shared" si="1"/>
        <v>5.2749956592815311E-2</v>
      </c>
      <c r="K16" s="21">
        <f t="shared" si="1"/>
        <v>0</v>
      </c>
      <c r="L16" s="21">
        <f t="shared" ca="1" si="1"/>
        <v>0</v>
      </c>
      <c r="M16" s="21">
        <f t="shared" si="1"/>
        <v>0</v>
      </c>
      <c r="N16" s="21">
        <f t="shared" ca="1" si="1"/>
        <v>2068.8049658694581</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0.20813060139907483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3311.1858685058928</v>
      </c>
      <c r="C20" s="23">
        <f t="shared" ref="C20:P20" ca="1" si="2">C16*C18</f>
        <v>48.887394957983197</v>
      </c>
      <c r="D20" s="23">
        <f t="shared" ca="1" si="2"/>
        <v>2797.8362451085568</v>
      </c>
      <c r="E20" s="23">
        <f t="shared" si="2"/>
        <v>38.987634826259928</v>
      </c>
      <c r="F20" s="23">
        <f t="shared" ca="1" si="2"/>
        <v>507.457092682618</v>
      </c>
      <c r="G20" s="23">
        <f t="shared" si="2"/>
        <v>0</v>
      </c>
      <c r="H20" s="23">
        <f t="shared" si="2"/>
        <v>0</v>
      </c>
      <c r="I20" s="23">
        <f t="shared" si="2"/>
        <v>0</v>
      </c>
      <c r="J20" s="23">
        <f t="shared" si="2"/>
        <v>1.8673484633856621E-2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2491.0064730000004</v>
      </c>
      <c r="C26" s="39">
        <f>IF(ISERROR(B26*3.6/1000000/'E Balans VL '!Z12*100),0,B26*3.6/1000000/'E Balans VL '!Z12*100)</f>
        <v>5.2844423315479214E-2</v>
      </c>
      <c r="D26" s="235" t="s">
        <v>698</v>
      </c>
      <c r="F26" s="6"/>
    </row>
    <row r="27" spans="1:18">
      <c r="A27" s="229" t="s">
        <v>52</v>
      </c>
      <c r="B27" s="33">
        <f>IF(ISERROR(TER_horeca_ele_kWh/1000),0,TER_horeca_ele_kWh/1000)</f>
        <v>940.96521800000005</v>
      </c>
      <c r="C27" s="39">
        <f>IF(ISERROR(B27*3.6/1000000/'E Balans VL '!Z9*100),0,B27*3.6/1000000/'E Balans VL '!Z9*100)</f>
        <v>7.0863016461954129E-2</v>
      </c>
      <c r="D27" s="235" t="s">
        <v>698</v>
      </c>
      <c r="F27" s="6"/>
    </row>
    <row r="28" spans="1:18">
      <c r="A28" s="169" t="s">
        <v>51</v>
      </c>
      <c r="B28" s="33">
        <f>IF(ISERROR(TER_handel_ele_kWh/1000),0,TER_handel_ele_kWh/1000)</f>
        <v>507.59289100000001</v>
      </c>
      <c r="C28" s="39">
        <f>IF(ISERROR(B28*3.6/1000000/'E Balans VL '!Z13*100),0,B28*3.6/1000000/'E Balans VL '!Z13*100)</f>
        <v>1.4733623083791704E-2</v>
      </c>
      <c r="D28" s="235" t="s">
        <v>698</v>
      </c>
      <c r="F28" s="6"/>
    </row>
    <row r="29" spans="1:18">
      <c r="A29" s="229" t="s">
        <v>50</v>
      </c>
      <c r="B29" s="33">
        <f>IF(ISERROR(TER_gezond_ele_kWh/1000),0,TER_gezond_ele_kWh/1000)</f>
        <v>188.49699900000002</v>
      </c>
      <c r="C29" s="39">
        <f>IF(ISERROR(B29*3.6/1000000/'E Balans VL '!Z10*100),0,B29*3.6/1000000/'E Balans VL '!Z10*100)</f>
        <v>1.9010147140976881E-2</v>
      </c>
      <c r="D29" s="235" t="s">
        <v>698</v>
      </c>
      <c r="F29" s="6"/>
    </row>
    <row r="30" spans="1:18">
      <c r="A30" s="229" t="s">
        <v>49</v>
      </c>
      <c r="B30" s="33">
        <f>IF(ISERROR(TER_ander_ele_kWh/1000),0,TER_ander_ele_kWh/1000)</f>
        <v>2026.328728</v>
      </c>
      <c r="C30" s="39">
        <f>IF(ISERROR(B30*3.6/1000000/'E Balans VL '!Z14*100),0,B30*3.6/1000000/'E Balans VL '!Z14*100)</f>
        <v>0.14703779340895318</v>
      </c>
      <c r="D30" s="235" t="s">
        <v>698</v>
      </c>
      <c r="F30" s="6"/>
    </row>
    <row r="31" spans="1:18">
      <c r="A31" s="229" t="s">
        <v>54</v>
      </c>
      <c r="B31" s="33">
        <f>IF(ISERROR(TER_onderwijs_ele_kWh/1000),0,TER_onderwijs_ele_kWh/1000)</f>
        <v>35.309224999999998</v>
      </c>
      <c r="C31" s="39">
        <f>IF(ISERROR(B31*3.6/1000000/'E Balans VL '!Z11*100),0,B31*3.6/1000000/'E Balans VL '!Z11*100)</f>
        <v>1.0064566983593908E-2</v>
      </c>
      <c r="D31" s="235" t="s">
        <v>698</v>
      </c>
    </row>
    <row r="32" spans="1:18">
      <c r="A32" s="229" t="s">
        <v>254</v>
      </c>
      <c r="B32" s="33">
        <f>IF(ISERROR(TER_rest_ele_kWh/1000),0,TER_rest_ele_kWh/1000)</f>
        <v>9575.4740629999997</v>
      </c>
      <c r="C32" s="39">
        <f>IF(ISERROR(B32*3.6/1000000/'E Balans VL '!Z8*100),0,B32*3.6/1000000/'E Balans VL '!Z8*100)</f>
        <v>7.8440333091344433E-2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45438.764992999997</v>
      </c>
      <c r="C5" s="17">
        <f>IF(ISERROR('Eigen informatie GS &amp; warmtenet'!B61),0,'Eigen informatie GS &amp; warmtenet'!B61)</f>
        <v>0</v>
      </c>
      <c r="D5" s="30">
        <f>SUM(D6:D15)</f>
        <v>34577.793469120006</v>
      </c>
      <c r="E5" s="17">
        <f>SUM(E6:E15)</f>
        <v>2525.6567846690291</v>
      </c>
      <c r="F5" s="17">
        <f>SUM(F6:F15)</f>
        <v>9151.028880580272</v>
      </c>
      <c r="G5" s="18"/>
      <c r="H5" s="17"/>
      <c r="I5" s="17"/>
      <c r="J5" s="17">
        <f>SUM(J6:J15)</f>
        <v>362.73698209024116</v>
      </c>
      <c r="K5" s="17"/>
      <c r="L5" s="17"/>
      <c r="M5" s="17"/>
      <c r="N5" s="17">
        <f>SUM(N6:N15)</f>
        <v>1838.6187838972253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62.697000000000003</v>
      </c>
      <c r="C8" s="33"/>
      <c r="D8" s="37">
        <f>IF( ISERROR(IND_metaal_Gas_kWH/1000),0,IND_metaal_Gas_kWH/1000)*0.902</f>
        <v>0</v>
      </c>
      <c r="E8" s="33">
        <f>C30*'E Balans VL '!I18/100/3.6*1000000</f>
        <v>0.45231485013272432</v>
      </c>
      <c r="F8" s="33">
        <f>C30*'E Balans VL '!L18/100/3.6*1000000+C30*'E Balans VL '!N18/100/3.6*1000000</f>
        <v>5.9299801483016674</v>
      </c>
      <c r="G8" s="34"/>
      <c r="H8" s="33"/>
      <c r="I8" s="33"/>
      <c r="J8" s="40">
        <f>C30*'E Balans VL '!D18/100/3.6*1000000+C30*'E Balans VL '!E18/100/3.6*1000000</f>
        <v>6.3061006944688344E-2</v>
      </c>
      <c r="K8" s="33"/>
      <c r="L8" s="33"/>
      <c r="M8" s="33"/>
      <c r="N8" s="33">
        <f>C30*'E Balans VL '!Y18/100/3.6*1000000</f>
        <v>0.7926559598852676</v>
      </c>
      <c r="O8" s="33"/>
      <c r="P8" s="33"/>
      <c r="R8" s="32"/>
    </row>
    <row r="9" spans="1:18">
      <c r="A9" s="6" t="s">
        <v>32</v>
      </c>
      <c r="B9" s="37">
        <f t="shared" si="0"/>
        <v>1659.2943</v>
      </c>
      <c r="C9" s="33"/>
      <c r="D9" s="37">
        <f>IF( ISERROR(IND_andere_gas_kWh/1000),0,IND_andere_gas_kWh/1000)*0.902</f>
        <v>230.18092900000002</v>
      </c>
      <c r="E9" s="33">
        <f>C31*'E Balans VL '!I19/100/3.6*1000000</f>
        <v>459.81263807449602</v>
      </c>
      <c r="F9" s="33">
        <f>C31*'E Balans VL '!L19/100/3.6*1000000+C31*'E Balans VL '!N19/100/3.6*1000000</f>
        <v>1375.2267016026174</v>
      </c>
      <c r="G9" s="34"/>
      <c r="H9" s="33"/>
      <c r="I9" s="33"/>
      <c r="J9" s="40">
        <f>C31*'E Balans VL '!D19/100/3.6*1000000+C31*'E Balans VL '!E19/100/3.6*1000000</f>
        <v>0</v>
      </c>
      <c r="K9" s="33"/>
      <c r="L9" s="33"/>
      <c r="M9" s="33"/>
      <c r="N9" s="33">
        <f>C31*'E Balans VL '!Y19/100/3.6*1000000</f>
        <v>120.44447081356986</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15.031183</v>
      </c>
      <c r="C13" s="33"/>
      <c r="D13" s="37">
        <f>IF( ISERROR(IND_papier_gas_kWh/1000),0,IND_papier_gas_kWh/1000)*0.902</f>
        <v>0</v>
      </c>
      <c r="E13" s="33">
        <f>C35*'E Balans VL '!I23/100/3.6*1000000</f>
        <v>2.2116031603265293E-2</v>
      </c>
      <c r="F13" s="33">
        <f>C35*'E Balans VL '!L23/100/3.6*1000000+C35*'E Balans VL '!N23/100/3.6*1000000</f>
        <v>0.16094348385274038</v>
      </c>
      <c r="G13" s="34"/>
      <c r="H13" s="33"/>
      <c r="I13" s="33"/>
      <c r="J13" s="40">
        <f>C35*'E Balans VL '!D23/100/3.6*1000000+C35*'E Balans VL '!E23/100/3.6*1000000</f>
        <v>1.6444957106634148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43701.742509999996</v>
      </c>
      <c r="C15" s="33"/>
      <c r="D15" s="37">
        <f>IF( ISERROR(IND_rest_gas_kWh/1000),0,IND_rest_gas_kWh/1000)*0.902</f>
        <v>34347.612540120004</v>
      </c>
      <c r="E15" s="33">
        <f>C37*'E Balans VL '!I15/100/3.6*1000000</f>
        <v>2065.3697157127972</v>
      </c>
      <c r="F15" s="33">
        <f>C37*'E Balans VL '!L15/100/3.6*1000000+C37*'E Balans VL '!N15/100/3.6*1000000</f>
        <v>7769.7112553454999</v>
      </c>
      <c r="G15" s="34"/>
      <c r="H15" s="33"/>
      <c r="I15" s="33"/>
      <c r="J15" s="40">
        <f>C37*'E Balans VL '!D15/100/3.6*1000000+C37*'E Balans VL '!E15/100/3.6*1000000</f>
        <v>361.02942537263306</v>
      </c>
      <c r="K15" s="33"/>
      <c r="L15" s="33"/>
      <c r="M15" s="33"/>
      <c r="N15" s="33">
        <f>C37*'E Balans VL '!Y15/100/3.6*1000000</f>
        <v>1717.3816571237701</v>
      </c>
      <c r="O15" s="33"/>
      <c r="P15" s="33"/>
      <c r="R15" s="32"/>
    </row>
    <row r="16" spans="1:18">
      <c r="A16" s="16" t="s">
        <v>471</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45438.764992999997</v>
      </c>
      <c r="C18" s="21">
        <f>C5+C16</f>
        <v>0</v>
      </c>
      <c r="D18" s="21">
        <f>MAX((D5+D16),0)</f>
        <v>34577.793469120006</v>
      </c>
      <c r="E18" s="21">
        <f>MAX((E5+E16),0)</f>
        <v>2525.6567846690291</v>
      </c>
      <c r="F18" s="21">
        <f>MAX((F5+F16),0)</f>
        <v>9151.028880580272</v>
      </c>
      <c r="G18" s="21"/>
      <c r="H18" s="21"/>
      <c r="I18" s="21"/>
      <c r="J18" s="21">
        <f>MAX((J5+J16),0)</f>
        <v>362.73698209024116</v>
      </c>
      <c r="K18" s="21"/>
      <c r="L18" s="21">
        <f>MAX((L5+L16),0)</f>
        <v>0</v>
      </c>
      <c r="M18" s="21"/>
      <c r="N18" s="21">
        <f>MAX((N5+N16),0)</f>
        <v>1838.6187838972253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0.20813060139907483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9457.1974848243171</v>
      </c>
      <c r="C22" s="23">
        <f ca="1">C18*C20</f>
        <v>0</v>
      </c>
      <c r="D22" s="23">
        <f>D18*D20</f>
        <v>6984.7142807622413</v>
      </c>
      <c r="E22" s="23">
        <f>E18*E20</f>
        <v>573.32409011986965</v>
      </c>
      <c r="F22" s="23">
        <f>F18*F20</f>
        <v>2443.3247111149326</v>
      </c>
      <c r="G22" s="23"/>
      <c r="H22" s="23"/>
      <c r="I22" s="23"/>
      <c r="J22" s="23">
        <f>J18*J20</f>
        <v>128.40889165994537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62.697000000000003</v>
      </c>
      <c r="C30" s="39">
        <f>IF(ISERROR(B30*3.6/1000000/'E Balans VL '!Z18*100),0,B30*3.6/1000000/'E Balans VL '!Z18*100)</f>
        <v>3.6193999808822718E-3</v>
      </c>
      <c r="D30" s="235" t="s">
        <v>698</v>
      </c>
    </row>
    <row r="31" spans="1:18">
      <c r="A31" s="6" t="s">
        <v>32</v>
      </c>
      <c r="B31" s="37">
        <f>IF( ISERROR(IND_ander_ele_kWh/1000),0,IND_ander_ele_kWh/1000)</f>
        <v>1659.2943</v>
      </c>
      <c r="C31" s="39">
        <f>IF(ISERROR(B31*3.6/1000000/'E Balans VL '!Z19*100),0,B31*3.6/1000000/'E Balans VL '!Z19*100)</f>
        <v>8.3457124895783219E-2</v>
      </c>
      <c r="D31" s="235" t="s">
        <v>698</v>
      </c>
    </row>
    <row r="32" spans="1:18">
      <c r="A32" s="169" t="s">
        <v>40</v>
      </c>
      <c r="B32" s="37">
        <f>IF( ISERROR(IND_voed_ele_kWh/1000),0,IND_voed_ele_kWh/1000)</f>
        <v>0</v>
      </c>
      <c r="C32" s="39">
        <f>IF(ISERROR(B32*3.6/1000000/'E Balans VL '!Z20*100),0,B32*3.6/1000000/'E Balans VL '!Z20*100)</f>
        <v>0</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15.031183</v>
      </c>
      <c r="C35" s="39">
        <f>IF(ISERROR(B35*3.6/1000000/'E Balans VL '!Z22*100),0,B35*3.6/1000000/'E Balans VL '!Z22*100)</f>
        <v>2.8038233281222746E-3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43701.742509999996</v>
      </c>
      <c r="C37" s="39">
        <f>IF(ISERROR(B37*3.6/1000000/'E Balans VL '!Z15*100),0,B37*3.6/1000000/'E Balans VL '!Z15*100)</f>
        <v>0.34099309972626107</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498.055702</v>
      </c>
      <c r="C5" s="17">
        <f>'Eigen informatie GS &amp; warmtenet'!B62</f>
        <v>0</v>
      </c>
      <c r="D5" s="30">
        <f>IF(ISERROR(SUM(LB_lb_gas_kWh,LB_rest_gas_kWh)/1000),0,SUM(LB_lb_gas_kWh,LB_rest_gas_kWh)/1000)*0.902</f>
        <v>151.045855004</v>
      </c>
      <c r="E5" s="17">
        <f>B17*'E Balans VL '!I25/3.6*1000000/100</f>
        <v>15.544154220911237</v>
      </c>
      <c r="F5" s="17">
        <f>B17*('E Balans VL '!L25/3.6*1000000+'E Balans VL '!N25/3.6*1000000)/100</f>
        <v>1760.1840239903177</v>
      </c>
      <c r="G5" s="18"/>
      <c r="H5" s="17"/>
      <c r="I5" s="17"/>
      <c r="J5" s="17">
        <f>('E Balans VL '!D25+'E Balans VL '!E25)/3.6*1000000*landbouw!B17/100</f>
        <v>137.21779988702284</v>
      </c>
      <c r="K5" s="17"/>
      <c r="L5" s="17">
        <f>L6*(-1)</f>
        <v>0</v>
      </c>
      <c r="M5" s="17"/>
      <c r="N5" s="17">
        <f>N6*(-1)</f>
        <v>0</v>
      </c>
      <c r="O5" s="17"/>
      <c r="P5" s="17"/>
      <c r="R5" s="32"/>
    </row>
    <row r="6" spans="1:18">
      <c r="A6" s="16" t="s">
        <v>471</v>
      </c>
      <c r="B6" s="17" t="s">
        <v>210</v>
      </c>
      <c r="C6" s="17">
        <f>'lokale energieproductie'!O40+'lokale energieproductie'!O33</f>
        <v>0</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498.055702</v>
      </c>
      <c r="C8" s="21">
        <f>C5+C6</f>
        <v>0</v>
      </c>
      <c r="D8" s="21">
        <f>MAX((D5+D6),0)</f>
        <v>151.045855004</v>
      </c>
      <c r="E8" s="21">
        <f>MAX((E5+E6),0)</f>
        <v>15.544154220911237</v>
      </c>
      <c r="F8" s="21">
        <f>MAX((F5+F6),0)</f>
        <v>1760.1840239903177</v>
      </c>
      <c r="G8" s="21"/>
      <c r="H8" s="21"/>
      <c r="I8" s="21"/>
      <c r="J8" s="21">
        <f>MAX((J5+J6),0)</f>
        <v>137.21779988702284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0.20813060139907483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103.6606327874984</v>
      </c>
      <c r="C12" s="23">
        <f ca="1">C8*C10</f>
        <v>0</v>
      </c>
      <c r="D12" s="23">
        <f>D8*D10</f>
        <v>30.511262710808001</v>
      </c>
      <c r="E12" s="23">
        <f>E8*E10</f>
        <v>3.528523008146851</v>
      </c>
      <c r="F12" s="23">
        <f>F8*F10</f>
        <v>469.96913440541482</v>
      </c>
      <c r="G12" s="23"/>
      <c r="H12" s="23"/>
      <c r="I12" s="23"/>
      <c r="J12" s="23">
        <f>J8*J10</f>
        <v>48.575101160006078</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7.4039550503768134E-2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14.392826532472183</v>
      </c>
      <c r="C26" s="245">
        <f>B26*'GWP N2O_CH4'!B5</f>
        <v>302.24935718191585</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0.94618015375284459</v>
      </c>
      <c r="C27" s="245">
        <f>B27*'GWP N2O_CH4'!B5</f>
        <v>19.869783228809737</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0.23596397729955917</v>
      </c>
      <c r="C28" s="245">
        <f>B28*'GWP N2O_CH4'!B4</f>
        <v>73.148832962863338</v>
      </c>
      <c r="D28" s="50"/>
    </row>
    <row r="29" spans="1:4">
      <c r="A29" s="41" t="s">
        <v>271</v>
      </c>
      <c r="B29" s="245">
        <f>B34*'ha_N2O bodem landbouw'!B4</f>
        <v>6.2813216023304275</v>
      </c>
      <c r="C29" s="245">
        <f>B29*'GWP N2O_CH4'!B4</f>
        <v>1947.2096967224325</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1.3773807347384802E-3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7.5206662444346928E-4</v>
      </c>
      <c r="C5" s="433" t="s">
        <v>210</v>
      </c>
      <c r="D5" s="418">
        <f>SUM(D6:D11)</f>
        <v>1.1925840936931752E-3</v>
      </c>
      <c r="E5" s="418">
        <f>SUM(E6:E11)</f>
        <v>1.1327569807027906E-3</v>
      </c>
      <c r="F5" s="431" t="s">
        <v>210</v>
      </c>
      <c r="G5" s="418">
        <f>SUM(G6:G11)</f>
        <v>0.47587263938273561</v>
      </c>
      <c r="H5" s="418">
        <f>SUM(H6:H11)</f>
        <v>0.10813893005329463</v>
      </c>
      <c r="I5" s="433" t="s">
        <v>210</v>
      </c>
      <c r="J5" s="433" t="s">
        <v>210</v>
      </c>
      <c r="K5" s="433" t="s">
        <v>210</v>
      </c>
      <c r="L5" s="433" t="s">
        <v>210</v>
      </c>
      <c r="M5" s="418">
        <f>SUM(M6:M11)</f>
        <v>3.4590061256138303E-2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2.7583305121584717E-4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4.6563301123240359E-4</v>
      </c>
      <c r="E6" s="884">
        <f>vkm_GW_PW*SUMIFS(TableVerdeelsleutelVkm[LPG],TableVerdeelsleutelVkm[Voertuigtype],"Lichte voertuigen")*SUMIFS(TableECFTransport[EnergieConsumptieFactor (PJ per km)],TableECFTransport[Index],CONCATENATE($A6,"_LPG_LPG"))</f>
        <v>4.0802137042393057E-4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0.12745795164543497</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4.1534543498146378E-2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1.0096937159557097E-2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1.3505662067227241E-6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5.15473353434764E-2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7.1652448597810688E-7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2.9713110872044693E-3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1.0276948025368725E-4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2.2151835383148947E-4</v>
      </c>
      <c r="E8" s="421">
        <f>vkm_NGW_PW*SUMIFS(TableVerdeelsleutelVkm[LPG],TableVerdeelsleutelVkm[Voertuigtype],"Lichte voertuigen")*SUMIFS(TableECFTransport[EnergieConsumptieFactor (PJ per km)],TableECFTransport[Index],CONCATENATE($A8,"_LPG_LPG"))</f>
        <v>1.8594514087352719E-4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5.3666015790923303E-2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1.9473031360573552E-2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4.3827309556060149E-3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6.1844149477285826E-8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3.034500105810196E-3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3.9603195063166648E-8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1.7491563728584352E-4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3.6965416837438634E-4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5.0543272862928201E-4</v>
      </c>
      <c r="E10" s="421">
        <f>vkm_SW_PW*SUMIFS(TableVerdeelsleutelVkm[LPG],TableVerdeelsleutelVkm[Voertuigtype],"Lichte voertuigen")*SUMIFS(TableECFTransport[EnergieConsumptieFactor (PJ per km)],TableECFTransport[Index],CONCATENATE($A10,"_LPG_LPG"))</f>
        <v>5.3879046940533289E-4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0.15337730536692179</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4.7129289864493738E-2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1.196140448431559E-2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2.3975142433484211E-6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8.6789531130168934E-2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1.3092023999227797E-6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5.0027619321692876E-3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208.90739567874149</v>
      </c>
      <c r="C14" s="21"/>
      <c r="D14" s="21">
        <f t="shared" ref="D14:M14" si="0">((D5)*10^9/3600)+D12</f>
        <v>331.27335935921531</v>
      </c>
      <c r="E14" s="21">
        <f t="shared" si="0"/>
        <v>314.6547168618863</v>
      </c>
      <c r="F14" s="21"/>
      <c r="G14" s="21">
        <f t="shared" si="0"/>
        <v>132186.84427298213</v>
      </c>
      <c r="H14" s="21">
        <f t="shared" si="0"/>
        <v>30038.591681470731</v>
      </c>
      <c r="I14" s="21"/>
      <c r="J14" s="21"/>
      <c r="K14" s="21"/>
      <c r="L14" s="21"/>
      <c r="M14" s="21">
        <f t="shared" si="0"/>
        <v>9608.3503489273062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0.20813060139907483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43.48002189933095</v>
      </c>
      <c r="C18" s="23"/>
      <c r="D18" s="23">
        <f t="shared" ref="D18:M18" si="1">D14*D16</f>
        <v>66.91721859056149</v>
      </c>
      <c r="E18" s="23">
        <f t="shared" si="1"/>
        <v>71.426620727648199</v>
      </c>
      <c r="F18" s="23"/>
      <c r="G18" s="23">
        <f t="shared" si="1"/>
        <v>35293.887420886233</v>
      </c>
      <c r="H18" s="23">
        <f t="shared" si="1"/>
        <v>7479.6093286862115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7.7739085196908782E-5</v>
      </c>
      <c r="C50" s="315">
        <f t="shared" ref="C50:P50" si="2">SUM(C51:C52)</f>
        <v>0</v>
      </c>
      <c r="D50" s="315">
        <f t="shared" si="2"/>
        <v>0</v>
      </c>
      <c r="E50" s="315">
        <f t="shared" si="2"/>
        <v>0</v>
      </c>
      <c r="F50" s="315">
        <f t="shared" si="2"/>
        <v>0</v>
      </c>
      <c r="G50" s="315">
        <f t="shared" si="2"/>
        <v>5.6323138074718454E-3</v>
      </c>
      <c r="H50" s="315">
        <f t="shared" si="2"/>
        <v>0</v>
      </c>
      <c r="I50" s="315">
        <f t="shared" si="2"/>
        <v>0</v>
      </c>
      <c r="J50" s="315">
        <f t="shared" si="2"/>
        <v>0</v>
      </c>
      <c r="K50" s="315">
        <f t="shared" si="2"/>
        <v>0</v>
      </c>
      <c r="L50" s="315">
        <f t="shared" si="2"/>
        <v>0</v>
      </c>
      <c r="M50" s="315">
        <f t="shared" si="2"/>
        <v>3.1858044198702489E-4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7.7739085196908782E-5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5.6323138074718454E-3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3.1858044198702489E-4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21.59419033247466</v>
      </c>
      <c r="C54" s="21">
        <f t="shared" ref="C54:P54" si="3">(C50)*10^9/3600</f>
        <v>0</v>
      </c>
      <c r="D54" s="21">
        <f t="shared" si="3"/>
        <v>0</v>
      </c>
      <c r="E54" s="21">
        <f t="shared" si="3"/>
        <v>0</v>
      </c>
      <c r="F54" s="21">
        <f t="shared" si="3"/>
        <v>0</v>
      </c>
      <c r="G54" s="21">
        <f t="shared" si="3"/>
        <v>1564.5316131866236</v>
      </c>
      <c r="H54" s="21">
        <f t="shared" si="3"/>
        <v>0</v>
      </c>
      <c r="I54" s="21">
        <f t="shared" si="3"/>
        <v>0</v>
      </c>
      <c r="J54" s="21">
        <f t="shared" si="3"/>
        <v>0</v>
      </c>
      <c r="K54" s="21">
        <f t="shared" si="3"/>
        <v>0</v>
      </c>
      <c r="L54" s="21">
        <f t="shared" si="3"/>
        <v>0</v>
      </c>
      <c r="M54" s="21">
        <f t="shared" si="3"/>
        <v>88.49456721861803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0.20813060139907483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4.4944118206240384</v>
      </c>
      <c r="C58" s="23">
        <f t="shared" ref="C58:P58" ca="1" si="4">C54*C56</f>
        <v>0</v>
      </c>
      <c r="D58" s="23">
        <f t="shared" si="4"/>
        <v>0</v>
      </c>
      <c r="E58" s="23">
        <f t="shared" si="4"/>
        <v>0</v>
      </c>
      <c r="F58" s="23">
        <f t="shared" si="4"/>
        <v>0</v>
      </c>
      <c r="G58" s="23">
        <f t="shared" si="4"/>
        <v>417.72994072082855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140.13039524833587</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5314.3169646509314</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N30</f>
        <v>144</v>
      </c>
      <c r="C8" s="543">
        <f>B49</f>
        <v>169.41176470588235</v>
      </c>
      <c r="D8" s="544"/>
      <c r="E8" s="544">
        <f>E49</f>
        <v>0</v>
      </c>
      <c r="F8" s="545"/>
      <c r="G8" s="546"/>
      <c r="H8" s="544">
        <f>I49</f>
        <v>0</v>
      </c>
      <c r="I8" s="544">
        <f>G49+F49</f>
        <v>0</v>
      </c>
      <c r="J8" s="544">
        <f>H49+D49+C49</f>
        <v>0</v>
      </c>
      <c r="K8" s="544"/>
      <c r="L8" s="544"/>
      <c r="M8" s="544"/>
      <c r="N8" s="547"/>
      <c r="O8" s="548">
        <f>C8*$C$12+D8*$D$12+E8*$E$12+F8*$F$12+G8*$G$12+H8*$H$12+I8*$I$12+J8*$J$12</f>
        <v>34.221176470588233</v>
      </c>
      <c r="P8" s="1244"/>
      <c r="Q8" s="1245"/>
      <c r="S8" s="538"/>
      <c r="T8" s="1232"/>
      <c r="U8" s="1232"/>
    </row>
    <row r="9" spans="1:21" s="529" customFormat="1" ht="17.45" customHeight="1" thickBot="1">
      <c r="A9" s="549" t="s">
        <v>242</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5598.4473598992672</v>
      </c>
      <c r="C10" s="558">
        <f t="shared" ref="C10:L10" si="0">SUM(C8:C9)</f>
        <v>169.41176470588235</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34.221176470588233</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O30</f>
        <v>205.71428571428572</v>
      </c>
      <c r="C17" s="574">
        <f>B50</f>
        <v>242.0168067226891</v>
      </c>
      <c r="D17" s="575"/>
      <c r="E17" s="575">
        <f>E50</f>
        <v>0</v>
      </c>
      <c r="F17" s="576"/>
      <c r="G17" s="577"/>
      <c r="H17" s="574">
        <f>I50</f>
        <v>0</v>
      </c>
      <c r="I17" s="575">
        <f>G50+F50</f>
        <v>0</v>
      </c>
      <c r="J17" s="575">
        <f>H50+D50+C50</f>
        <v>0</v>
      </c>
      <c r="K17" s="575"/>
      <c r="L17" s="575"/>
      <c r="M17" s="575"/>
      <c r="N17" s="966"/>
      <c r="O17" s="578">
        <f>C17*$C$22+E17*$E$22+H17*$H$22+I17*$I$22+J17*$J$22+D17*$D$22+F17*$F$22+G17*$G$22+K17*$K$22+L17*$L$22</f>
        <v>48.887394957983197</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205.71428571428572</v>
      </c>
      <c r="C20" s="557">
        <f>SUM(C17:C19)</f>
        <v>242.0168067226891</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48.887394957983197</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63.75">
      <c r="A28" s="587"/>
      <c r="B28" s="785">
        <v>24094</v>
      </c>
      <c r="C28" s="785">
        <v>3118</v>
      </c>
      <c r="D28" s="635" t="s">
        <v>906</v>
      </c>
      <c r="E28" s="634" t="s">
        <v>907</v>
      </c>
      <c r="F28" s="634" t="s">
        <v>908</v>
      </c>
      <c r="G28" s="634" t="s">
        <v>909</v>
      </c>
      <c r="H28" s="634" t="s">
        <v>910</v>
      </c>
      <c r="I28" s="634" t="s">
        <v>907</v>
      </c>
      <c r="J28" s="784">
        <v>38718</v>
      </c>
      <c r="K28" s="784">
        <v>38991</v>
      </c>
      <c r="L28" s="634" t="s">
        <v>911</v>
      </c>
      <c r="M28" s="634">
        <v>10</v>
      </c>
      <c r="N28" s="634">
        <v>0</v>
      </c>
      <c r="O28" s="634">
        <v>0</v>
      </c>
      <c r="P28" s="634">
        <v>0</v>
      </c>
      <c r="Q28" s="634">
        <v>0</v>
      </c>
      <c r="R28" s="634">
        <v>0</v>
      </c>
      <c r="S28" s="634">
        <v>0</v>
      </c>
      <c r="T28" s="634">
        <v>0</v>
      </c>
      <c r="U28" s="634">
        <v>0</v>
      </c>
      <c r="V28" s="634">
        <v>0</v>
      </c>
      <c r="W28" s="634">
        <v>0</v>
      </c>
      <c r="X28" s="634">
        <v>1600</v>
      </c>
      <c r="Y28" s="634" t="s">
        <v>49</v>
      </c>
      <c r="Z28" s="636" t="s">
        <v>155</v>
      </c>
    </row>
    <row r="29" spans="1:26" s="588" customFormat="1" ht="51">
      <c r="A29" s="587"/>
      <c r="B29" s="785">
        <v>24094</v>
      </c>
      <c r="C29" s="785">
        <v>3110</v>
      </c>
      <c r="D29" s="635"/>
      <c r="E29" s="634"/>
      <c r="F29" s="634" t="s">
        <v>912</v>
      </c>
      <c r="G29" s="634" t="s">
        <v>909</v>
      </c>
      <c r="H29" s="634" t="s">
        <v>913</v>
      </c>
      <c r="I29" s="634" t="s">
        <v>914</v>
      </c>
      <c r="J29" s="784">
        <v>42028</v>
      </c>
      <c r="K29" s="784">
        <v>42019</v>
      </c>
      <c r="L29" s="634" t="s">
        <v>911</v>
      </c>
      <c r="M29" s="634">
        <v>32</v>
      </c>
      <c r="N29" s="634">
        <v>144</v>
      </c>
      <c r="O29" s="634">
        <v>205.71428571428572</v>
      </c>
      <c r="P29" s="634">
        <v>411.42857142857144</v>
      </c>
      <c r="Q29" s="634">
        <v>0</v>
      </c>
      <c r="R29" s="634">
        <v>0</v>
      </c>
      <c r="S29" s="634">
        <v>0</v>
      </c>
      <c r="T29" s="634">
        <v>0</v>
      </c>
      <c r="U29" s="634">
        <v>0</v>
      </c>
      <c r="V29" s="634">
        <v>0</v>
      </c>
      <c r="W29" s="634">
        <v>0</v>
      </c>
      <c r="X29" s="634">
        <v>1500</v>
      </c>
      <c r="Y29" s="634" t="s">
        <v>50</v>
      </c>
      <c r="Z29" s="636" t="s">
        <v>155</v>
      </c>
    </row>
    <row r="30" spans="1:26" s="568" customFormat="1">
      <c r="A30" s="590" t="s">
        <v>274</v>
      </c>
      <c r="B30" s="591"/>
      <c r="C30" s="591"/>
      <c r="D30" s="591"/>
      <c r="E30" s="591"/>
      <c r="F30" s="591"/>
      <c r="G30" s="591"/>
      <c r="H30" s="591"/>
      <c r="I30" s="591"/>
      <c r="J30" s="591"/>
      <c r="K30" s="591"/>
      <c r="L30" s="592"/>
      <c r="M30" s="592">
        <f>SUM(M28:M29)</f>
        <v>42</v>
      </c>
      <c r="N30" s="592">
        <f>SUM(N28:N29)</f>
        <v>144</v>
      </c>
      <c r="O30" s="592">
        <f>SUM(O28:O29)</f>
        <v>205.71428571428572</v>
      </c>
      <c r="P30" s="592">
        <f>SUM(P28:P29)</f>
        <v>411.42857142857144</v>
      </c>
      <c r="Q30" s="592">
        <f>SUM(Q28:Q29)</f>
        <v>0</v>
      </c>
      <c r="R30" s="592">
        <f>SUM(R28:R29)</f>
        <v>0</v>
      </c>
      <c r="S30" s="592">
        <f>SUM(S28:S29)</f>
        <v>0</v>
      </c>
      <c r="T30" s="592">
        <f>SUM(T28:T29)</f>
        <v>0</v>
      </c>
      <c r="U30" s="592">
        <f>SUM(U28:U29)</f>
        <v>0</v>
      </c>
      <c r="V30" s="592">
        <f>SUM(V28:V29)</f>
        <v>0</v>
      </c>
      <c r="W30" s="592">
        <f>SUM(W28:W29)</f>
        <v>0</v>
      </c>
      <c r="X30" s="593"/>
      <c r="Y30" s="593"/>
      <c r="Z30" s="594"/>
    </row>
    <row r="31" spans="1:26" s="568" customFormat="1">
      <c r="A31" s="590" t="s">
        <v>281</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282</v>
      </c>
      <c r="B32" s="591"/>
      <c r="C32" s="591"/>
      <c r="D32" s="591"/>
      <c r="E32" s="591"/>
      <c r="F32" s="591"/>
      <c r="G32" s="591"/>
      <c r="H32" s="591"/>
      <c r="I32" s="591"/>
      <c r="J32" s="591"/>
      <c r="K32" s="591"/>
      <c r="L32" s="592"/>
      <c r="M32" s="592">
        <f ca="1">SUMIF($Z$28:AC29,"tertiair",M28:M29)</f>
        <v>42</v>
      </c>
      <c r="N32" s="592">
        <f ca="1">SUMIF($Z$28:AD29,"tertiair",N28:N29)</f>
        <v>144</v>
      </c>
      <c r="O32" s="592">
        <f ca="1">SUMIF($Z$28:AE29,"tertiair",O28:O29)</f>
        <v>205.71428571428572</v>
      </c>
      <c r="P32" s="592">
        <f ca="1">SUMIF($Z$28:AF29,"tertiair",P28:P29)</f>
        <v>411.42857142857144</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283</v>
      </c>
      <c r="B33" s="596"/>
      <c r="C33" s="596"/>
      <c r="D33" s="596"/>
      <c r="E33" s="596"/>
      <c r="F33" s="596"/>
      <c r="G33" s="596"/>
      <c r="H33" s="596"/>
      <c r="I33" s="596"/>
      <c r="J33" s="596"/>
      <c r="K33" s="596"/>
      <c r="L33" s="597"/>
      <c r="M33" s="597">
        <f>SUMIF($Z$28:$Z$29,"landbouw",M28:M29)</f>
        <v>0</v>
      </c>
      <c r="N33" s="597">
        <f>SUMIF($Z$28:$Z$29,"landbouw",N28:N29)</f>
        <v>0</v>
      </c>
      <c r="O33" s="597">
        <f>SUMIF($Z$28:$Z$29,"landbouw",O28:O29)</f>
        <v>0</v>
      </c>
      <c r="P33" s="597">
        <f>SUMIF($Z$28:$Z$29,"landbouw",P28:P29)</f>
        <v>0</v>
      </c>
      <c r="Q33" s="597">
        <f>SUMIF($Z$28:$Z$29,"landbouw",Q28:Q29)</f>
        <v>0</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275</v>
      </c>
      <c r="B35" s="631" t="s">
        <v>89</v>
      </c>
      <c r="C35" s="631" t="s">
        <v>90</v>
      </c>
      <c r="D35" s="631" t="s">
        <v>91</v>
      </c>
      <c r="E35" s="631" t="s">
        <v>92</v>
      </c>
      <c r="F35" s="631" t="s">
        <v>93</v>
      </c>
      <c r="G35" s="631" t="s">
        <v>94</v>
      </c>
      <c r="H35" s="631" t="s">
        <v>95</v>
      </c>
      <c r="I35" s="631" t="s">
        <v>96</v>
      </c>
      <c r="J35" s="631" t="s">
        <v>97</v>
      </c>
      <c r="K35" s="631" t="s">
        <v>98</v>
      </c>
      <c r="L35" s="631" t="s">
        <v>99</v>
      </c>
      <c r="M35" s="632" t="s">
        <v>292</v>
      </c>
      <c r="N35" s="632" t="s">
        <v>100</v>
      </c>
      <c r="O35" s="632" t="s">
        <v>101</v>
      </c>
      <c r="P35" s="632" t="s">
        <v>517</v>
      </c>
      <c r="Q35" s="632" t="s">
        <v>102</v>
      </c>
      <c r="R35" s="632" t="s">
        <v>103</v>
      </c>
      <c r="S35" s="632" t="s">
        <v>104</v>
      </c>
      <c r="T35" s="632" t="s">
        <v>105</v>
      </c>
      <c r="U35" s="632" t="s">
        <v>106</v>
      </c>
      <c r="V35" s="632" t="s">
        <v>107</v>
      </c>
      <c r="W35" s="631" t="s">
        <v>108</v>
      </c>
      <c r="X35" s="631" t="s">
        <v>293</v>
      </c>
      <c r="Y35" s="631" t="s">
        <v>109</v>
      </c>
      <c r="Z35" s="633" t="s">
        <v>294</v>
      </c>
    </row>
    <row r="36" spans="1:27" s="603" customFormat="1" ht="12.75">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c r="A37" s="590" t="s">
        <v>274</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281</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282</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283</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276</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277</v>
      </c>
      <c r="C45" s="614" t="s">
        <v>278</v>
      </c>
      <c r="D45" s="614"/>
      <c r="E45" s="614"/>
      <c r="F45" s="614"/>
      <c r="G45" s="614"/>
      <c r="H45" s="614"/>
      <c r="I45" s="615"/>
      <c r="J45" s="614"/>
      <c r="K45" s="614"/>
      <c r="L45" s="614"/>
      <c r="M45" s="614"/>
      <c r="N45" s="614"/>
      <c r="O45" s="614"/>
      <c r="P45" s="609"/>
    </row>
    <row r="46" spans="1:27">
      <c r="A46" s="611" t="s">
        <v>274</v>
      </c>
      <c r="B46" s="616">
        <f>IF(ISERROR(O30/(O30+N30)),0,O30/(O30+N30))</f>
        <v>0.58823529411764708</v>
      </c>
      <c r="C46" s="617">
        <f>IF(ISERROR(N30/(O30+N30)),0,N30/(N30+O30))</f>
        <v>0.41176470588235292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517</v>
      </c>
      <c r="C48" s="624" t="s">
        <v>102</v>
      </c>
      <c r="D48" s="624" t="s">
        <v>103</v>
      </c>
      <c r="E48" s="624" t="s">
        <v>104</v>
      </c>
      <c r="F48" s="624" t="s">
        <v>105</v>
      </c>
      <c r="G48" s="624" t="s">
        <v>106</v>
      </c>
      <c r="H48" s="624" t="s">
        <v>107</v>
      </c>
      <c r="I48" s="625" t="s">
        <v>108</v>
      </c>
      <c r="J48" s="614"/>
      <c r="K48" s="614"/>
      <c r="L48" s="622"/>
      <c r="M48" s="622"/>
      <c r="N48" s="622"/>
      <c r="O48" s="609"/>
      <c r="P48" s="609"/>
    </row>
    <row r="49" spans="1:16">
      <c r="A49" s="613" t="s">
        <v>279</v>
      </c>
      <c r="B49" s="626">
        <f t="shared" ref="B49:I49" si="2">$C$46*P30</f>
        <v>169.41176470588235</v>
      </c>
      <c r="C49" s="626">
        <f t="shared" si="2"/>
        <v>0</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280</v>
      </c>
      <c r="B50" s="629">
        <f t="shared" ref="B50:I50" si="3">$B$46*P30</f>
        <v>242.0168067226891</v>
      </c>
      <c r="C50" s="629">
        <f t="shared" si="3"/>
        <v>0</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2021-06-29T14:43:58Z</dcterms:modified>
</cp:coreProperties>
</file>