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29" i="20"/>
  <c r="C56" i="22"/>
  <c r="C58" i="22" s="1"/>
  <c r="D49" i="14" s="1"/>
  <c r="D52" i="14" s="1"/>
  <c r="C20" i="16"/>
  <c r="C22" i="16" s="1"/>
  <c r="D43" i="14" s="1"/>
  <c r="C10" i="17"/>
  <c r="C12" i="17" s="1"/>
  <c r="D54" i="14" s="1"/>
  <c r="D56" i="14" s="1"/>
  <c r="C17" i="49"/>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<sst xmlns="http://schemas.openxmlformats.org/spreadsheetml/2006/main" count="2493" uniqueCount="912">
  <si>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</si>
  <si>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</si>
  <si>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</si>
  <si>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</si>
  <si>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</si>
  <si>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</si>
  <si>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</si>
  <si>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</si>
  <si>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</si>
  <si>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</si>
  <si>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</si>
  <si>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</si>
  <si>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</si>
  <si>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</si>
  <si>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</si>
  <si>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</si>
  <si>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</si>
  <si>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</si>
  <si>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</si>
  <si>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</si>
  <si>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</si>
  <si>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</si>
  <si>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</si>
  <si>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</si>
  <si>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</si>
  <si>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</si>
  <si>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</si>
  <si>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</si>
  <si>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</si>
  <si>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</si>
  <si>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</si>
  <si>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</si>
  <si>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</si>
  <si>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</si>
  <si>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</si>
  <si>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</si>
  <si>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</si>
  <si>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</si>
  <si>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</si>
  <si>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</si>
  <si>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</si>
  <si>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</si>
  <si>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</si>
  <si>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</si>
  <si>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</si>
  <si>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</si>
  <si>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</si>
  <si>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</si>
  <si>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</si>
  <si>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</si>
  <si>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</si>
  <si>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</si>
  <si>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</si>
  <si>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</si>
  <si>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</si>
  <si>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</si>
  <si>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</si>
  <si>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</si>
  <si>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</si>
  <si>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</si>
  <si>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</si>
  <si>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</si>
  <si>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</si>
  <si>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</si>
  <si>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</si>
  <si>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</si>
  <si>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</si>
  <si>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</si>
  <si>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</si>
  <si>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</si>
  <si>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</si>
  <si>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</si>
  <si>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</si>
  <si>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</si>
  <si>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</si>
  <si>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</si>
  <si>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</si>
  <si>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</si>
  <si>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</si>
  <si>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</si>
  <si>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</si>
  <si>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</si>
  <si>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</si>
  <si>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</si>
  <si>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</si>
  <si>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</si>
  <si>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</si>
  <si>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</si>
  <si>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</si>
  <si>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</si>
  <si>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</si>
  <si>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</si>
  <si>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</si>
  <si>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</si>
  <si>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</si>
  <si>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</si>
  <si>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</si>
  <si>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</si>
  <si>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</si>
  <si>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</si>
  <si>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</si>
  <si>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</si>
  <si>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</si>
  <si>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</si>
  <si>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</si>
  <si>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</si>
  <si>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</si>
  <si>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</si>
  <si>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</si>
  <si>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</si>
  <si>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</si>
  <si>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</si>
  <si>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</si>
  <si>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</si>
  <si>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</si>
  <si>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</si>
  <si>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</si>
  <si>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</si>
  <si>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</si>
  <si>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</si>
  <si>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</si>
  <si>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</si>
  <si>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</si>
  <si>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</si>
  <si>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</si>
  <si>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</si>
  <si>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</si>
  <si>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</si>
  <si>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</si>
  <si>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</si>
  <si>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</si>
  <si>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</si>
  <si>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</si>
  <si>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</si>
  <si>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</si>
  <si>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</si>
  <si>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</si>
  <si>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</si>
  <si>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</si>
  <si>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</si>
  <si>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</si>
  <si>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</si>
  <si>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</si>
  <si>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</si>
  <si>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</si>
  <si>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</si>
  <si>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</si>
  <si>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</si>
  <si>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</si>
  <si>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</si>
  <si>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</si>
  <si>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</si>
  <si>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</si>
  <si>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</si>
  <si>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</si>
  <si>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</si>
  <si>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</si>
  <si>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</si>
  <si>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</si>
  <si>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</si>
  <si>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</si>
  <si>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</si>
  <si>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</si>
  <si>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</si>
  <si>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</si>
  <si>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</si>
  <si>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</si>
  <si>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</si>
  <si>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</si>
  <si>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</si>
  <si>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</si>
  <si>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</si>
  <si>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</si>
  <si>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</si>
  <si>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</si>
  <si>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</si>
  <si>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</si>
  <si>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</si>
  <si>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</si>
  <si>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</si>
  <si>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</si>
  <si>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</si>
  <si>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</si>
  <si>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</si>
  <si>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</si>
  <si>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</si>
  <si>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</si>
  <si>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</si>
  <si>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</si>
  <si>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</si>
  <si>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</si>
  <si>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</si>
  <si>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</si>
  <si>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</si>
  <si>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</si>
  <si>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</si>
  <si>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</si>
  <si>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</si>
  <si>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</si>
  <si>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</si>
  <si>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</si>
  <si>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</si>
  <si>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</si>
  <si>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</si>
  <si>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</si>
  <si>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</si>
  <si>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</si>
  <si>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</si>
  <si>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</si>
  <si>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</si>
  <si>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</si>
  <si>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</si>
  <si>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</si>
  <si>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</si>
  <si>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</si>
  <si>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</si>
  <si>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</si>
  <si>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</si>
  <si>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</si>
  <si>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</si>
  <si>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</si>
  <si>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</si>
  <si>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</si>
  <si>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</si>
  <si>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</si>
  <si>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</si>
  <si>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</si>
  <si>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</si>
  <si>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</si>
  <si>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</si>
  <si>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</si>
  <si>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</si>
  <si>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</si>
  <si>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</si>
  <si>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</si>
  <si>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</si>
  <si>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</si>
  <si>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</si>
  <si>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</si>
  <si>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</si>
  <si>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</si>
  <si>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</si>
  <si>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</si>
  <si>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</si>
  <si>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</si>
  <si>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</si>
  <si>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</si>
  <si>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</si>
  <si>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</si>
  <si>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</si>
  <si>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</si>
  <si>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</si>
  <si>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</si>
  <si>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</si>
  <si>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</si>
  <si>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</si>
  <si>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</si>
  <si>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</si>
  <si>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</si>
  <si>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</si>
  <si>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</si>
  <si>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</si>
  <si>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</si>
  <si>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</si>
  <si>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</si>
  <si>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</si>
  <si>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</si>
  <si>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</si>
  <si>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</si>
  <si>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</si>
  <si>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</si>
  <si>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</si>
  <si>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</si>
  <si>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</si>
  <si>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</si>
  <si>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</si>
  <si>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</si>
  <si>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</si>
  <si>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</si>
  <si>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</si>
  <si>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</si>
  <si>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</si>
  <si>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</si>
  <si>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</si>
  <si>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</si>
  <si>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</si>
  <si>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</si>
  <si>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</si>
  <si>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</si>
  <si>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</si>
  <si>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</si>
  <si>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</si>
  <si>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</si>
  <si>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</si>
  <si>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</si>
  <si>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</si>
  <si>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</si>
  <si>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</si>
  <si>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</si>
  <si>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</si>
  <si>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</si>
  <si>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</si>
  <si>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</si>
  <si>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</si>
  <si>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</si>
  <si>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</si>
  <si>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</si>
  <si>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</si>
  <si>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</si>
  <si>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</si>
  <si>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</si>
  <si>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</si>
  <si>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</si>
  <si>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</si>
  <si>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</si>
  <si>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</si>
  <si>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</si>
  <si>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</si>
  <si>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</si>
  <si>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</si>
  <si>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</si>
  <si>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</si>
  <si>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</si>
  <si>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</si>
  <si>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</si>
  <si>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</si>
  <si>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</si>
  <si>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</si>
  <si>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</si>
  <si>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</si>
  <si>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</si>
  <si>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</si>
  <si>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</si>
  <si>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</si>
  <si>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</si>
  <si>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</si>
  <si>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</si>
  <si>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</si>
  <si>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</si>
  <si>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</si>
  <si>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</si>
  <si>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</si>
  <si>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</si>
  <si>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</si>
  <si>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</si>
  <si>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</si>
  <si>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</si>
  <si>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</si>
  <si>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</si>
  <si>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</si>
  <si>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</si>
  <si>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</si>
  <si>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</si>
  <si>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</si>
  <si>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</si>
  <si>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</si>
  <si>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</si>
  <si>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</si>
  <si>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</si>
  <si>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</si>
  <si>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</si>
  <si>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</si>
  <si>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</si>
  <si>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</si>
  <si>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</si>
  <si>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</si>
  <si>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</si>
  <si>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</si>
  <si>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</si>
  <si>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</si>
  <si>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</si>
  <si>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</si>
  <si>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</si>
  <si>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</si>
  <si>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</si>
  <si>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</si>
  <si>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</si>
  <si>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</si>
  <si>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</si>
  <si>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</si>
  <si>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</si>
  <si>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</si>
  <si>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</si>
  <si>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</si>
  <si>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</si>
  <si>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</si>
  <si>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</si>
  <si>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</si>
  <si>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</si>
  <si>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</si>
  <si>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</si>
  <si>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</si>
  <si>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</si>
  <si>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</si>
  <si>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</si>
  <si>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</si>
  <si>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</si>
  <si>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</si>
  <si>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</si>
  <si>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</si>
  <si>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</si>
  <si>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</si>
  <si>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</si>
  <si>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</si>
  <si>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</si>
  <si>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</si>
  <si>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</si>
  <si>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</si>
  <si>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</si>
  <si>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</si>
  <si>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</si>
  <si>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</si>
  <si>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</si>
  <si>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</si>
  <si>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</si>
  <si>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</si>
  <si>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</si>
  <si>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</si>
  <si>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</si>
  <si>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</si>
  <si>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</si>
  <si>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</si>
  <si>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</si>
  <si>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</si>
  <si>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</si>
  <si>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</si>
  <si>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</si>
  <si>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</si>
  <si>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</si>
  <si>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</si>
  <si>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</si>
  <si>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</si>
  <si>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</si>
  <si>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</si>
  <si>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</si>
  <si>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</si>
  <si>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</si>
  <si>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</si>
  <si>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</si>
  <si>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</si>
  <si>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</si>
  <si>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</si>
  <si>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</si>
  <si>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</si>
  <si>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</si>
  <si>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</si>
  <si>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</si>
  <si>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</si>
  <si>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</si>
  <si>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</si>
  <si>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</si>
  <si>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</si>
  <si>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</si>
  <si>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</si>
  <si>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</si>
  <si>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</si>
  <si>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</si>
  <si>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</si>
  <si>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</si>
  <si>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</si>
  <si>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</si>
  <si>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</si>
  <si>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</si>
  <si>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</si>
  <si>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</si>
  <si>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</si>
  <si>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</si>
  <si>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</si>
  <si>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</si>
  <si>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</si>
  <si>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</si>
  <si>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</si>
  <si>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</si>
  <si>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</si>
  <si>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</si>
  <si>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</si>
  <si>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</si>
  <si>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</si>
  <si>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</si>
  <si>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</si>
  <si>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</si>
  <si>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</si>
  <si>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</si>
  <si>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</si>
  <si>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</si>
  <si>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</si>
  <si>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</si>
  <si>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</si>
  <si>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</si>
  <si>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</si>
  <si>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</si>
  <si>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</si>
  <si>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</si>
  <si>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</si>
  <si>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</si>
  <si>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</si>
  <si>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</si>
  <si>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</si>
  <si>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</si>
  <si>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</si>
  <si>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</si>
  <si>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</si>
  <si>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</si>
  <si>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</si>
  <si>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</si>
  <si>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</si>
  <si>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</si>
  <si>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</si>
  <si>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</si>
  <si>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</si>
  <si>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</si>
  <si>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</si>
  <si>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</si>
  <si>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</si>
  <si>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</si>
  <si>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</si>
  <si>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</si>
  <si>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</si>
  <si>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</si>
  <si>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</si>
  <si>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</si>
  <si>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</si>
  <si>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</si>
  <si>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</si>
  <si>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</si>
  <si>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</si>
  <si>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</si>
  <si>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</si>
  <si>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</si>
  <si>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</si>
  <si>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</si>
  <si>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</si>
  <si>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</si>
  <si>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</si>
  <si>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</si>
  <si>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</si>
  <si>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</si>
  <si>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</si>
  <si>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</si>
  <si>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</si>
  <si>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</si>
  <si>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</si>
  <si>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</si>
  <si>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</si>
  <si>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</si>
  <si>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</si>
  <si>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</si>
  <si>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</si>
  <si>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</si>
  <si>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</si>
  <si>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</si>
  <si>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</si>
  <si>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</si>
  <si>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</si>
  <si>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</si>
  <si>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</si>
  <si>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</si>
  <si>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</si>
  <si>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</si>
  <si>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</si>
  <si>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</si>
  <si>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</si>
  <si>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</si>
  <si>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</si>
  <si>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</si>
  <si>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</si>
  <si>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</si>
  <si>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</si>
  <si>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</si>
  <si>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</si>
  <si>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</si>
  <si>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</si>
  <si>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</si>
  <si>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</si>
  <si>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</si>
  <si>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</si>
  <si>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</si>
  <si>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</si>
  <si>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</si>
  <si>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</si>
  <si>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</si>
  <si>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</si>
  <si>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</si>
  <si>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</si>
  <si>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</si>
  <si>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</si>
  <si>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</si>
  <si>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</si>
  <si>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</si>
  <si>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</si>
  <si>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</si>
  <si>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</si>
  <si>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</si>
  <si>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</si>
  <si>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</si>
  <si>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</si>
  <si>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</si>
  <si>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</si>
  <si>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</si>
  <si>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</si>
  <si>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</si>
  <si>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</si>
  <si>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</si>
  <si>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</si>
  <si>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</si>
  <si>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</si>
  <si>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</si>
  <si>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</si>
  <si>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</si>
  <si>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</si>
  <si>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</si>
  <si>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</si>
  <si>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</si>
  <si>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</si>
  <si>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</si>
  <si>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</si>
  <si>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</si>
  <si>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</si>
  <si>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</si>
  <si>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</si>
  <si>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</si>
  <si>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</si>
  <si>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</si>
  <si>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</si>
  <si>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</si>
  <si>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</si>
  <si>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</si>
  <si>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</si>
  <si>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</si>
  <si>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</si>
  <si>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</si>
  <si>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</si>
  <si>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</si>
  <si>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</si>
  <si>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</si>
  <si>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</si>
  <si>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</si>
  <si>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</si>
  <si>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</si>
  <si>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</si>
  <si>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</si>
  <si>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</si>
  <si>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</si>
  <si>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</si>
  <si>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</si>
  <si>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</si>
  <si>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</si>
  <si>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</si>
  <si>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</si>
  <si>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</si>
  <si>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</si>
  <si>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</si>
  <si>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</si>
  <si>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</si>
  <si>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</si>
  <si>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</si>
  <si>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</si>
  <si>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</si>
  <si>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</si>
  <si>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</si>
  <si>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</si>
  <si>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</si>
  <si>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</si>
  <si>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</si>
  <si>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</si>
  <si>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</si>
  <si>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</si>
  <si>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</si>
  <si>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</si>
  <si>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</si>
  <si>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</si>
  <si>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</si>
  <si>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</si>
  <si>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</si>
  <si>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</si>
  <si>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</si>
  <si>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</si>
  <si>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</si>
  <si>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</si>
  <si>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</si>
  <si>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</si>
  <si>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</si>
  <si>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</si>
  <si>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</si>
  <si>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</si>
  <si>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</si>
  <si>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</si>
  <si>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</si>
  <si>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</si>
  <si>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</si>
  <si>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</si>
  <si>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</si>
  <si>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</si>
  <si>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</si>
  <si>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</si>
  <si>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</si>
  <si>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</si>
  <si>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</si>
  <si>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</si>
  <si>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</si>
  <si>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</si>
  <si>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</si>
  <si>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</si>
  <si>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</si>
  <si>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</si>
  <si>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</si>
  <si>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</si>
  <si>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</si>
  <si>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</si>
  <si>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</si>
  <si>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</si>
  <si>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</si>
  <si>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</si>
  <si>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</si>
  <si>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</si>
  <si>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</si>
  <si>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</si>
  <si>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</si>
  <si>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</si>
  <si>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</si>
  <si>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</si>
  <si>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</si>
  <si>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</si>
  <si>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</si>
  <si>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</si>
  <si>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</si>
  <si>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</si>
  <si>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</si>
  <si>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</si>
  <si>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</si>
  <si>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</si>
  <si>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</si>
  <si>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</si>
  <si>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</si>
  <si>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</si>
  <si>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</si>
  <si>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</si>
  <si>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</si>
  <si>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</si>
  <si>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</si>
  <si>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</si>
  <si>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</si>
  <si>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</si>
  <si>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</si>
  <si>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</si>
  <si>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</si>
  <si>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</si>
  <si>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</si>
  <si>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</si>
  <si>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</si>
  <si>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</si>
  <si>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</si>
  <si>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</si>
  <si>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</si>
  <si>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</si>
  <si>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</si>
  <si>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</si>
  <si>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</si>
  <si>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</si>
  <si>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</si>
  <si>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</si>
  <si>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</si>
  <si>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</si>
  <si>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</si>
  <si>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</si>
  <si>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</si>
  <si>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</si>
  <si>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</si>
  <si>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</si>
  <si>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</si>
  <si>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</si>
  <si>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</si>
  <si>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</si>
  <si>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</si>
  <si>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</si>
  <si>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</si>
  <si>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</si>
  <si>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</si>
  <si>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</si>
  <si>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</si>
  <si>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</si>
  <si>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</si>
  <si>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</si>
  <si>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</si>
  <si>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</si>
  <si>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</si>
  <si>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</si>
  <si>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</si>
  <si>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</si>
  <si>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</si>
  <si>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</si>
  <si>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</si>
  <si>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</si>
  <si>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</si>
  <si>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</si>
  <si>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</si>
  <si>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</si>
  <si>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</si>
  <si>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</si>
  <si>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</si>
  <si>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</si>
  <si>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</si>
  <si>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</si>
  <si>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</si>
  <si>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</si>
  <si>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</si>
  <si>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</si>
  <si>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</si>
  <si>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</si>
  <si>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</si>
  <si>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</si>
  <si>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</si>
  <si>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</si>
  <si>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</si>
  <si>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</si>
  <si>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</si>
  <si>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</si>
  <si>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</si>
  <si>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</si>
  <si>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</si>
  <si>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</si>
  <si>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</si>
  <si>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</si>
  <si>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</si>
  <si>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</si>
  <si>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</si>
  <si>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</si>
  <si>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</si>
  <si>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</si>
  <si>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</si>
  <si>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</si>
  <si>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</si>
  <si>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</si>
  <si>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</si>
  <si>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</si>
  <si>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</si>
  <si>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</si>
  <si>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</si>
  <si>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</si>
  <si>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</si>
  <si>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</si>
  <si>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</si>
  <si>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</si>
  <si>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</si>
  <si>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</si>
  <si>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</si>
  <si>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</si>
  <si>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</si>
  <si>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</si>
  <si>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</si>
  <si>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</si>
  <si>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</si>
  <si>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</si>
  <si>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</si>
  <si>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</si>
  <si>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</si>
  <si>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</si>
  <si>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</si>
  <si>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</si>
  <si>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</si>
  <si>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</si>
  <si>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</si>
  <si>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</si>
  <si>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</si>
  <si>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</si>
  <si>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</si>
  <si>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</si>
  <si>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</si>
  <si>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</si>
  <si>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</si>
  <si>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</si>
  <si>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</si>
  <si>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</si>
  <si>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</si>
  <si>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</si>
  <si>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</si>
  <si>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</si>
  <si>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</si>
  <si>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</si>
  <si>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</si>
  <si>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</si>
  <si>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</si>
  <si>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</si>
  <si>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</si>
  <si>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</si>
  <si>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</si>
  <si>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</si>
  <si>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</si>
  <si>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</si>
  <si>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</si>
  <si>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</si>
  <si>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</si>
  <si>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</si>
  <si>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</si>
  <si>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</si>
  <si>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</si>
  <si>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</si>
  <si>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</si>
  <si>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</si>
  <si>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</si>
  <si>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</si>
  <si>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</si>
  <si>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</si>
  <si>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23105</t>
  </si>
  <si>
    <t>AFFLIGEM</t>
  </si>
  <si>
    <t>referentietaak LNE (2017); Jaarverslag De Lijn</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</si>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</sst>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110328.33238937134</c:v>
                </c:pt>
                <c:pt idx="1">
                  <c:v>17800.710519808981</c:v>
                </c:pt>
                <c:pt idx="2">
                  <c:v>834.28099999999995</c:v>
                </c:pt>
                <c:pt idx="3">
                  <c:v>1228.2940655671136</c:v>
                </c:pt>
                <c:pt idx="4">
                  <c:v>4191.1589313824006</c:v>
                </c:pt>
                <c:pt idx="5">
                  <c:v>212400.97778112869</c:v>
                </c:pt>
                <c:pt idx="6">
                  <c:v>1428.0620080115536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110328.33238937134</c:v>
                </c:pt>
                <c:pt idx="1">
                  <c:v>17800.710519808981</c:v>
                </c:pt>
                <c:pt idx="2">
                  <c:v>834.28099999999995</c:v>
                </c:pt>
                <c:pt idx="3">
                  <c:v>1228.2940655671136</c:v>
                </c:pt>
                <c:pt idx="4">
                  <c:v>4191.1589313824006</c:v>
                </c:pt>
                <c:pt idx="5">
                  <c:v>212400.97778112869</c:v>
                </c:pt>
                <c:pt idx="6">
                  <c:v>1428.0620080115536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23105.018257291795</c:v>
                </c:pt>
                <c:pt idx="1">
                  <c:v>3573.074925756328</c:v>
                </c:pt>
                <c:pt idx="2">
                  <c:v>168.55610178311386</c:v>
                </c:pt>
                <c:pt idx="3">
                  <c:v>314.13471684921217</c:v>
                </c:pt>
                <c:pt idx="4">
                  <c:v>870.09834186544663</c:v>
                </c:pt>
                <c:pt idx="5">
                  <c:v>52907.143870721724</c:v>
                </c:pt>
                <c:pt idx="6">
                  <c:v>359.94704898885942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23105.018257291795</c:v>
                </c:pt>
                <c:pt idx="1">
                  <c:v>3573.074925756328</c:v>
                </c:pt>
                <c:pt idx="2">
                  <c:v>168.55610178311386</c:v>
                </c:pt>
                <c:pt idx="3">
                  <c:v>314.13471684921217</c:v>
                </c:pt>
                <c:pt idx="4">
                  <c:v>870.09834186544663</c:v>
                </c:pt>
                <c:pt idx="5">
                  <c:v>52907.143870721724</c:v>
                </c:pt>
                <c:pt idx="6">
                  <c:v>359.94704898885942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23105</v>
      </c>
      <c r="B6" s="386"/>
      <c r="C6" s="387"/>
    </row>
    <row r="7" spans="1:7" s="384" customFormat="1" ht="15.75" customHeight="1">
      <c r="A7" s="388" t="str">
        <f>txtMunicipality</f>
        <v>AFFLIGEM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8528.6267660000012</v>
      </c>
      <c r="D10" s="681">
        <f ca="1">tertiair!C16</f>
        <v>57.857142857142861</v>
      </c>
      <c r="E10" s="681">
        <f ca="1">tertiair!D16</f>
        <v>8655.6977948597141</v>
      </c>
      <c r="F10" s="681">
        <f>tertiair!E16</f>
        <v>106.61949440387116</v>
      </c>
      <c r="G10" s="681">
        <f ca="1">tertiair!F16</f>
        <v>869.36972753346743</v>
      </c>
      <c r="H10" s="681">
        <f>tertiair!G16</f>
        <v>0</v>
      </c>
      <c r="I10" s="681">
        <f>tertiair!H16</f>
        <v>0</v>
      </c>
      <c r="J10" s="681">
        <f>tertiair!I16</f>
        <v>0</v>
      </c>
      <c r="K10" s="681">
        <f>tertiair!J16</f>
        <v>8.9431946734450218E-3</v>
      </c>
      <c r="L10" s="681">
        <f>tertiair!K16</f>
        <v>0</v>
      </c>
      <c r="M10" s="681">
        <f ca="1">tertiair!L16</f>
        <v>0</v>
      </c>
      <c r="N10" s="681">
        <f>tertiair!M16</f>
        <v>0</v>
      </c>
      <c r="O10" s="681">
        <f ca="1">tertiair!N16</f>
        <v>354.47799112193553</v>
      </c>
      <c r="P10" s="681">
        <f>tertiair!O16</f>
        <v>9.7945215316823084</v>
      </c>
      <c r="Q10" s="682">
        <f>tertiair!P16</f>
        <v>52.539138306495019</v>
      </c>
      <c r="R10" s="684">
        <f ca="1">SUM(C10:Q10)</f>
        <v>18634.991519808984</v>
      </c>
      <c r="S10" s="67"/>
    </row>
    <row r="11" spans="1:19" s="444" customFormat="1">
      <c r="A11" s="802" t="s">
        <v>219</v>
      </c>
      <c r="B11" s="807"/>
      <c r="C11" s="681">
        <f>huishoudens!B8</f>
        <v>24279.632849350462</v>
      </c>
      <c r="D11" s="681">
        <f>huishoudens!C8</f>
        <v>0</v>
      </c>
      <c r="E11" s="681">
        <f>huishoudens!D8</f>
        <v>37025.914724194008</v>
      </c>
      <c r="F11" s="681">
        <f>huishoudens!E8</f>
        <v>2353.958463478421</v>
      </c>
      <c r="G11" s="681">
        <f>huishoudens!F8</f>
        <v>37948.947802023889</v>
      </c>
      <c r="H11" s="681">
        <f>huishoudens!G8</f>
        <v>0</v>
      </c>
      <c r="I11" s="681">
        <f>huishoudens!H8</f>
        <v>0</v>
      </c>
      <c r="J11" s="681">
        <f>huishoudens!I8</f>
        <v>0</v>
      </c>
      <c r="K11" s="681">
        <f>huishoudens!J8</f>
        <v>151.60437336991382</v>
      </c>
      <c r="L11" s="681">
        <f>huishoudens!K8</f>
        <v>0</v>
      </c>
      <c r="M11" s="681">
        <f>huishoudens!L8</f>
        <v>0</v>
      </c>
      <c r="N11" s="681">
        <f>huishoudens!M8</f>
        <v>0</v>
      </c>
      <c r="O11" s="681">
        <f>huishoudens!N8</f>
        <v>7458.3372409333451</v>
      </c>
      <c r="P11" s="681">
        <f>huishoudens!O8</f>
        <v>277.75415071418445</v>
      </c>
      <c r="Q11" s="682">
        <f>huishoudens!P8</f>
        <v>832.18278530711677</v>
      </c>
      <c r="R11" s="684">
        <f>SUM(C11:Q11)</f>
        <v>110328.33238937134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1751.5467570000001</v>
      </c>
      <c r="D13" s="681">
        <f>industrie!C18</f>
        <v>0</v>
      </c>
      <c r="E13" s="681">
        <f>industrie!D18</f>
        <v>1626.375055316</v>
      </c>
      <c r="F13" s="681">
        <f>industrie!E18</f>
        <v>166.2959184207723</v>
      </c>
      <c r="G13" s="681">
        <f>industrie!F18</f>
        <v>551.18041852580825</v>
      </c>
      <c r="H13" s="681">
        <f>industrie!G18</f>
        <v>0</v>
      </c>
      <c r="I13" s="681">
        <f>industrie!H18</f>
        <v>0</v>
      </c>
      <c r="J13" s="681">
        <f>industrie!I18</f>
        <v>0</v>
      </c>
      <c r="K13" s="681">
        <f>industrie!J18</f>
        <v>7.8474397157015972</v>
      </c>
      <c r="L13" s="681">
        <f>industrie!K18</f>
        <v>0</v>
      </c>
      <c r="M13" s="681">
        <f>industrie!L18</f>
        <v>0</v>
      </c>
      <c r="N13" s="681">
        <f>industrie!M18</f>
        <v>0</v>
      </c>
      <c r="O13" s="681">
        <f>industrie!N18</f>
        <v>87.913342404118282</v>
      </c>
      <c r="P13" s="681">
        <f>industrie!O18</f>
        <v>0</v>
      </c>
      <c r="Q13" s="682">
        <f>industrie!P18</f>
        <v>0</v>
      </c>
      <c r="R13" s="684">
        <f>SUM(C13:Q13)</f>
        <v>4191.1589313824006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34559.80637235046</v>
      </c>
      <c r="D16" s="717">
        <f t="shared" ref="D16:R16" ca="1" si="0">SUM(D9:D15)</f>
        <v>57.857142857142861</v>
      </c>
      <c r="E16" s="717">
        <f t="shared" ca="1" si="0"/>
        <v>47307.987574369719</v>
      </c>
      <c r="F16" s="717">
        <f t="shared" si="0"/>
        <v>2626.8738763030642</v>
      </c>
      <c r="G16" s="717">
        <f t="shared" ca="1" si="0"/>
        <v>39369.497948083168</v>
      </c>
      <c r="H16" s="717">
        <f t="shared" si="0"/>
        <v>0</v>
      </c>
      <c r="I16" s="717">
        <f t="shared" si="0"/>
        <v>0</v>
      </c>
      <c r="J16" s="717">
        <f t="shared" si="0"/>
        <v>0</v>
      </c>
      <c r="K16" s="717">
        <f t="shared" si="0"/>
        <v>159.46075628028885</v>
      </c>
      <c r="L16" s="717">
        <f t="shared" si="0"/>
        <v>0</v>
      </c>
      <c r="M16" s="717">
        <f t="shared" ca="1" si="0"/>
        <v>0</v>
      </c>
      <c r="N16" s="717">
        <f t="shared" si="0"/>
        <v>0</v>
      </c>
      <c r="O16" s="717">
        <f t="shared" ca="1" si="0"/>
        <v>7900.7285744593992</v>
      </c>
      <c r="P16" s="717">
        <f t="shared" si="0"/>
        <v>287.54867224586678</v>
      </c>
      <c r="Q16" s="717">
        <f t="shared" si="0"/>
        <v>884.72192361361181</v>
      </c>
      <c r="R16" s="717">
        <f t="shared" ca="1" si="0"/>
        <v>133154.48284056273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18.414826038448659</v>
      </c>
      <c r="D19" s="681">
        <f>transport!C54</f>
        <v>0</v>
      </c>
      <c r="E19" s="681">
        <f>transport!D54</f>
        <v>0</v>
      </c>
      <c r="F19" s="681">
        <f>transport!E54</f>
        <v>0</v>
      </c>
      <c r="G19" s="681">
        <f>transport!F54</f>
        <v>0</v>
      </c>
      <c r="H19" s="681">
        <f>transport!G54</f>
        <v>1334.1818815571899</v>
      </c>
      <c r="I19" s="681">
        <f>transport!H54</f>
        <v>0</v>
      </c>
      <c r="J19" s="681">
        <f>transport!I54</f>
        <v>0</v>
      </c>
      <c r="K19" s="681">
        <f>transport!J54</f>
        <v>0</v>
      </c>
      <c r="L19" s="681">
        <f>transport!K54</f>
        <v>0</v>
      </c>
      <c r="M19" s="681">
        <f>transport!L54</f>
        <v>0</v>
      </c>
      <c r="N19" s="681">
        <f>transport!M54</f>
        <v>75.465300415915209</v>
      </c>
      <c r="O19" s="681">
        <f>transport!N54</f>
        <v>0</v>
      </c>
      <c r="P19" s="681">
        <f>transport!O54</f>
        <v>0</v>
      </c>
      <c r="Q19" s="682">
        <f>transport!P54</f>
        <v>0</v>
      </c>
      <c r="R19" s="684">
        <f>SUM(C19:Q19)</f>
        <v>1428.0620080115536</v>
      </c>
      <c r="S19" s="67"/>
    </row>
    <row r="20" spans="1:19" s="444" customFormat="1">
      <c r="A20" s="802" t="s">
        <v>301</v>
      </c>
      <c r="B20" s="807"/>
      <c r="C20" s="681">
        <f>transport!B14</f>
        <v>244.34179015028633</v>
      </c>
      <c r="D20" s="681">
        <f>transport!C14</f>
        <v>0</v>
      </c>
      <c r="E20" s="681">
        <f>transport!D14</f>
        <v>363.38395202409515</v>
      </c>
      <c r="F20" s="681">
        <f>transport!E14</f>
        <v>365.73019207328514</v>
      </c>
      <c r="G20" s="681">
        <f>transport!F14</f>
        <v>0</v>
      </c>
      <c r="H20" s="681">
        <f>transport!G14</f>
        <v>166246.84324073474</v>
      </c>
      <c r="I20" s="681">
        <f>transport!H14</f>
        <v>33387.334109322313</v>
      </c>
      <c r="J20" s="681">
        <f>transport!I14</f>
        <v>0</v>
      </c>
      <c r="K20" s="681">
        <f>transport!J14</f>
        <v>0</v>
      </c>
      <c r="L20" s="681">
        <f>transport!K14</f>
        <v>0</v>
      </c>
      <c r="M20" s="681">
        <f>transport!L14</f>
        <v>0</v>
      </c>
      <c r="N20" s="681">
        <f>transport!M14</f>
        <v>11793.344496823953</v>
      </c>
      <c r="O20" s="681">
        <f>transport!N14</f>
        <v>0</v>
      </c>
      <c r="P20" s="681">
        <f>transport!O14</f>
        <v>0</v>
      </c>
      <c r="Q20" s="682">
        <f>transport!P14</f>
        <v>0</v>
      </c>
      <c r="R20" s="684">
        <f>SUM(C20:Q20)</f>
        <v>212400.97778112869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262.75661618873499</v>
      </c>
      <c r="D22" s="805">
        <f t="shared" ref="D22:R22" si="1">SUM(D18:D21)</f>
        <v>0</v>
      </c>
      <c r="E22" s="805">
        <f t="shared" si="1"/>
        <v>363.38395202409515</v>
      </c>
      <c r="F22" s="805">
        <f t="shared" si="1"/>
        <v>365.73019207328514</v>
      </c>
      <c r="G22" s="805">
        <f t="shared" si="1"/>
        <v>0</v>
      </c>
      <c r="H22" s="805">
        <f t="shared" si="1"/>
        <v>167581.02512229193</v>
      </c>
      <c r="I22" s="805">
        <f t="shared" si="1"/>
        <v>33387.334109322313</v>
      </c>
      <c r="J22" s="805">
        <f t="shared" si="1"/>
        <v>0</v>
      </c>
      <c r="K22" s="805">
        <f t="shared" si="1"/>
        <v>0</v>
      </c>
      <c r="L22" s="805">
        <f t="shared" si="1"/>
        <v>0</v>
      </c>
      <c r="M22" s="805">
        <f t="shared" si="1"/>
        <v>0</v>
      </c>
      <c r="N22" s="805">
        <f t="shared" si="1"/>
        <v>11868.809797239868</v>
      </c>
      <c r="O22" s="805">
        <f t="shared" si="1"/>
        <v>0</v>
      </c>
      <c r="P22" s="805">
        <f t="shared" si="1"/>
        <v>0</v>
      </c>
      <c r="Q22" s="805">
        <f t="shared" si="1"/>
        <v>0</v>
      </c>
      <c r="R22" s="805">
        <f t="shared" si="1"/>
        <v>213829.03978914025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242.35092700000001</v>
      </c>
      <c r="D24" s="681">
        <f>+landbouw!C8</f>
        <v>0</v>
      </c>
      <c r="E24" s="681">
        <f>+landbouw!D8</f>
        <v>55.115062046000006</v>
      </c>
      <c r="F24" s="681">
        <f>+landbouw!E8</f>
        <v>7.5636925141935247</v>
      </c>
      <c r="G24" s="681">
        <f>+landbouw!F8</f>
        <v>856.49502292947091</v>
      </c>
      <c r="H24" s="681">
        <f>+landbouw!G8</f>
        <v>0</v>
      </c>
      <c r="I24" s="681">
        <f>+landbouw!H8</f>
        <v>0</v>
      </c>
      <c r="J24" s="681">
        <f>+landbouw!I8</f>
        <v>0</v>
      </c>
      <c r="K24" s="681">
        <f>+landbouw!J8</f>
        <v>66.76936107744929</v>
      </c>
      <c r="L24" s="681">
        <f>+landbouw!K8</f>
        <v>0</v>
      </c>
      <c r="M24" s="681">
        <f>+landbouw!L8</f>
        <v>0</v>
      </c>
      <c r="N24" s="681">
        <f>+landbouw!M8</f>
        <v>0</v>
      </c>
      <c r="O24" s="681">
        <f>+landbouw!N8</f>
        <v>0</v>
      </c>
      <c r="P24" s="681">
        <f>+landbouw!O8</f>
        <v>0</v>
      </c>
      <c r="Q24" s="682">
        <f>+landbouw!P8</f>
        <v>0</v>
      </c>
      <c r="R24" s="684">
        <f>SUM(C24:Q24)</f>
        <v>1228.2940655671136</v>
      </c>
      <c r="S24" s="67"/>
    </row>
    <row r="25" spans="1:19" s="444" customFormat="1" ht="15" thickBot="1">
      <c r="A25" s="824" t="s">
        <v>714</v>
      </c>
      <c r="B25" s="943"/>
      <c r="C25" s="944">
        <f>IF(Onbekend_ele_kWh="---",0,Onbekend_ele_kWh)/1000+IF(REST_rest_ele_kWh="---",0,REST_rest_ele_kWh)/1000</f>
        <v>507.559639</v>
      </c>
      <c r="D25" s="944"/>
      <c r="E25" s="944">
        <f>IF(onbekend_gas_kWh="---",0,onbekend_gas_kWh)/1000+IF(REST_rest_gas_kWh="---",0,REST_rest_gas_kWh)/1000</f>
        <v>1157.5823799999998</v>
      </c>
      <c r="F25" s="944"/>
      <c r="G25" s="944"/>
      <c r="H25" s="944"/>
      <c r="I25" s="944"/>
      <c r="J25" s="944"/>
      <c r="K25" s="944"/>
      <c r="L25" s="944"/>
      <c r="M25" s="944"/>
      <c r="N25" s="944"/>
      <c r="O25" s="944"/>
      <c r="P25" s="944"/>
      <c r="Q25" s="945"/>
      <c r="R25" s="684">
        <f>SUM(C25:Q25)</f>
        <v>1665.1420189999999</v>
      </c>
      <c r="S25" s="67"/>
    </row>
    <row r="26" spans="1:19" s="444" customFormat="1" ht="15.75" thickBot="1">
      <c r="A26" s="689" t="s">
        <v>715</v>
      </c>
      <c r="B26" s="810"/>
      <c r="C26" s="805">
        <f>SUM(C24:C25)</f>
        <v>749.91056600000002</v>
      </c>
      <c r="D26" s="805">
        <f t="shared" ref="D26:R26" si="2">SUM(D24:D25)</f>
        <v>0</v>
      </c>
      <c r="E26" s="805">
        <f t="shared" si="2"/>
        <v>1212.6974420459999</v>
      </c>
      <c r="F26" s="805">
        <f t="shared" si="2"/>
        <v>7.5636925141935247</v>
      </c>
      <c r="G26" s="805">
        <f t="shared" si="2"/>
        <v>856.49502292947091</v>
      </c>
      <c r="H26" s="805">
        <f t="shared" si="2"/>
        <v>0</v>
      </c>
      <c r="I26" s="805">
        <f t="shared" si="2"/>
        <v>0</v>
      </c>
      <c r="J26" s="805">
        <f t="shared" si="2"/>
        <v>0</v>
      </c>
      <c r="K26" s="805">
        <f t="shared" si="2"/>
        <v>66.76936107744929</v>
      </c>
      <c r="L26" s="805">
        <f t="shared" si="2"/>
        <v>0</v>
      </c>
      <c r="M26" s="805">
        <f t="shared" si="2"/>
        <v>0</v>
      </c>
      <c r="N26" s="805">
        <f t="shared" si="2"/>
        <v>0</v>
      </c>
      <c r="O26" s="805">
        <f t="shared" si="2"/>
        <v>0</v>
      </c>
      <c r="P26" s="805">
        <f t="shared" si="2"/>
        <v>0</v>
      </c>
      <c r="Q26" s="805">
        <f t="shared" si="2"/>
        <v>0</v>
      </c>
      <c r="R26" s="805">
        <f t="shared" si="2"/>
        <v>2893.4360845671135</v>
      </c>
      <c r="S26" s="67"/>
    </row>
    <row r="27" spans="1:19" s="444" customFormat="1" ht="17.25" thickTop="1" thickBot="1">
      <c r="A27" s="690" t="s">
        <v>115</v>
      </c>
      <c r="B27" s="797"/>
      <c r="C27" s="691">
        <f ca="1">C22+C16+C26</f>
        <v>35572.473554539196</v>
      </c>
      <c r="D27" s="691">
        <f t="shared" ref="D27:R27" ca="1" si="3">D22+D16+D26</f>
        <v>57.857142857142861</v>
      </c>
      <c r="E27" s="691">
        <f t="shared" ca="1" si="3"/>
        <v>48884.068968439817</v>
      </c>
      <c r="F27" s="691">
        <f t="shared" si="3"/>
        <v>3000.1677608905429</v>
      </c>
      <c r="G27" s="691">
        <f t="shared" ca="1" si="3"/>
        <v>40225.992971012638</v>
      </c>
      <c r="H27" s="691">
        <f t="shared" si="3"/>
        <v>167581.02512229193</v>
      </c>
      <c r="I27" s="691">
        <f t="shared" si="3"/>
        <v>33387.334109322313</v>
      </c>
      <c r="J27" s="691">
        <f t="shared" si="3"/>
        <v>0</v>
      </c>
      <c r="K27" s="691">
        <f t="shared" si="3"/>
        <v>226.23011735773815</v>
      </c>
      <c r="L27" s="691">
        <f t="shared" si="3"/>
        <v>0</v>
      </c>
      <c r="M27" s="691">
        <f t="shared" ca="1" si="3"/>
        <v>0</v>
      </c>
      <c r="N27" s="691">
        <f t="shared" si="3"/>
        <v>11868.809797239868</v>
      </c>
      <c r="O27" s="691">
        <f t="shared" ca="1" si="3"/>
        <v>7900.7285744593992</v>
      </c>
      <c r="P27" s="691">
        <f t="shared" si="3"/>
        <v>287.54867224586678</v>
      </c>
      <c r="Q27" s="691">
        <f t="shared" si="3"/>
        <v>884.72192361361181</v>
      </c>
      <c r="R27" s="691">
        <f t="shared" ca="1" si="3"/>
        <v>349876.95871427009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1723.1029847738178</v>
      </c>
      <c r="D40" s="681">
        <f ca="1">tertiair!C20</f>
        <v>13.749579831932778</v>
      </c>
      <c r="E40" s="681">
        <f ca="1">tertiair!D20</f>
        <v>1748.4509545616625</v>
      </c>
      <c r="F40" s="681">
        <f>tertiair!E20</f>
        <v>24.202625229678755</v>
      </c>
      <c r="G40" s="681">
        <f ca="1">tertiair!F20</f>
        <v>232.12171725143583</v>
      </c>
      <c r="H40" s="681">
        <f>tertiair!G20</f>
        <v>0</v>
      </c>
      <c r="I40" s="681">
        <f>tertiair!H20</f>
        <v>0</v>
      </c>
      <c r="J40" s="681">
        <f>tertiair!I20</f>
        <v>0</v>
      </c>
      <c r="K40" s="681">
        <f>tertiair!J20</f>
        <v>3.1658909143995376E-3</v>
      </c>
      <c r="L40" s="681">
        <f>tertiair!K20</f>
        <v>0</v>
      </c>
      <c r="M40" s="681">
        <f ca="1">tertiair!L20</f>
        <v>0</v>
      </c>
      <c r="N40" s="681">
        <f>tertiair!M20</f>
        <v>0</v>
      </c>
      <c r="O40" s="681">
        <f ca="1">tertiair!N20</f>
        <v>0</v>
      </c>
      <c r="P40" s="681">
        <f>tertiair!O20</f>
        <v>0</v>
      </c>
      <c r="Q40" s="764">
        <f>tertiair!P20</f>
        <v>0</v>
      </c>
      <c r="R40" s="843">
        <f t="shared" ca="1" si="4"/>
        <v>3741.6310275394417</v>
      </c>
    </row>
    <row r="41" spans="1:18">
      <c r="A41" s="815" t="s">
        <v>219</v>
      </c>
      <c r="B41" s="822"/>
      <c r="C41" s="681">
        <f ca="1">huishoudens!B12</f>
        <v>4905.3979004816747</v>
      </c>
      <c r="D41" s="681">
        <f ca="1">huishoudens!C12</f>
        <v>0</v>
      </c>
      <c r="E41" s="681">
        <f>huishoudens!D12</f>
        <v>7479.2347742871898</v>
      </c>
      <c r="F41" s="681">
        <f>huishoudens!E12</f>
        <v>534.34857120960157</v>
      </c>
      <c r="G41" s="681">
        <f>huishoudens!F12</f>
        <v>10132.369063140379</v>
      </c>
      <c r="H41" s="681">
        <f>huishoudens!G12</f>
        <v>0</v>
      </c>
      <c r="I41" s="681">
        <f>huishoudens!H12</f>
        <v>0</v>
      </c>
      <c r="J41" s="681">
        <f>huishoudens!I12</f>
        <v>0</v>
      </c>
      <c r="K41" s="681">
        <f>huishoudens!J12</f>
        <v>53.667948172949487</v>
      </c>
      <c r="L41" s="681">
        <f>huishoudens!K12</f>
        <v>0</v>
      </c>
      <c r="M41" s="681">
        <f>huishoudens!L12</f>
        <v>0</v>
      </c>
      <c r="N41" s="681">
        <f>huishoudens!M12</f>
        <v>0</v>
      </c>
      <c r="O41" s="681">
        <f>huishoudens!N12</f>
        <v>0</v>
      </c>
      <c r="P41" s="681">
        <f>huishoudens!O12</f>
        <v>0</v>
      </c>
      <c r="Q41" s="764">
        <f>huishoudens!P12</f>
        <v>0</v>
      </c>
      <c r="R41" s="843">
        <f t="shared" ca="1" si="4"/>
        <v>23105.018257291795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353.87824180435013</v>
      </c>
      <c r="D43" s="681">
        <f ca="1">industrie!C22</f>
        <v>0</v>
      </c>
      <c r="E43" s="681">
        <f>industrie!D22</f>
        <v>328.527761173832</v>
      </c>
      <c r="F43" s="681">
        <f>industrie!E22</f>
        <v>37.749173481515314</v>
      </c>
      <c r="G43" s="681">
        <f>industrie!F22</f>
        <v>147.1651717463908</v>
      </c>
      <c r="H43" s="681">
        <f>industrie!G22</f>
        <v>0</v>
      </c>
      <c r="I43" s="681">
        <f>industrie!H22</f>
        <v>0</v>
      </c>
      <c r="J43" s="681">
        <f>industrie!I22</f>
        <v>0</v>
      </c>
      <c r="K43" s="681">
        <f>industrie!J22</f>
        <v>2.7779936593583652</v>
      </c>
      <c r="L43" s="681">
        <f>industrie!K22</f>
        <v>0</v>
      </c>
      <c r="M43" s="681">
        <f>industrie!L22</f>
        <v>0</v>
      </c>
      <c r="N43" s="681">
        <f>industrie!M22</f>
        <v>0</v>
      </c>
      <c r="O43" s="681">
        <f>industrie!N22</f>
        <v>0</v>
      </c>
      <c r="P43" s="681">
        <f>industrie!O22</f>
        <v>0</v>
      </c>
      <c r="Q43" s="764">
        <f>industrie!P22</f>
        <v>0</v>
      </c>
      <c r="R43" s="842">
        <f t="shared" ca="1" si="4"/>
        <v>870.09834186544663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6982.3791270598431</v>
      </c>
      <c r="D46" s="717">
        <f t="shared" ref="D46:Q46" ca="1" si="5">SUM(D39:D45)</f>
        <v>13.749579831932778</v>
      </c>
      <c r="E46" s="717">
        <f t="shared" ca="1" si="5"/>
        <v>9556.2134900226847</v>
      </c>
      <c r="F46" s="717">
        <f t="shared" si="5"/>
        <v>596.30036992079567</v>
      </c>
      <c r="G46" s="717">
        <f t="shared" ca="1" si="5"/>
        <v>10511.655952138204</v>
      </c>
      <c r="H46" s="717">
        <f t="shared" si="5"/>
        <v>0</v>
      </c>
      <c r="I46" s="717">
        <f t="shared" si="5"/>
        <v>0</v>
      </c>
      <c r="J46" s="717">
        <f t="shared" si="5"/>
        <v>0</v>
      </c>
      <c r="K46" s="717">
        <f t="shared" si="5"/>
        <v>56.449107723222255</v>
      </c>
      <c r="L46" s="717">
        <f t="shared" si="5"/>
        <v>0</v>
      </c>
      <c r="M46" s="717">
        <f t="shared" ca="1" si="5"/>
        <v>0</v>
      </c>
      <c r="N46" s="717">
        <f t="shared" si="5"/>
        <v>0</v>
      </c>
      <c r="O46" s="717">
        <f t="shared" ca="1" si="5"/>
        <v>0</v>
      </c>
      <c r="P46" s="717">
        <f t="shared" si="5"/>
        <v>0</v>
      </c>
      <c r="Q46" s="717">
        <f t="shared" si="5"/>
        <v>0</v>
      </c>
      <c r="R46" s="717">
        <f ca="1">SUM(R39:R45)</f>
        <v>27716.747626696684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3.7204866130897001</v>
      </c>
      <c r="D49" s="681">
        <f ca="1">transport!C58</f>
        <v>0</v>
      </c>
      <c r="E49" s="681">
        <f>transport!D58</f>
        <v>0</v>
      </c>
      <c r="F49" s="681">
        <f>transport!E58</f>
        <v>0</v>
      </c>
      <c r="G49" s="681">
        <f>transport!F58</f>
        <v>0</v>
      </c>
      <c r="H49" s="681">
        <f>transport!G58</f>
        <v>356.22656237576973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359.94704898885942</v>
      </c>
    </row>
    <row r="50" spans="1:18">
      <c r="A50" s="818" t="s">
        <v>301</v>
      </c>
      <c r="B50" s="828"/>
      <c r="C50" s="687">
        <f ca="1">transport!B18</f>
        <v>49.36622031478592</v>
      </c>
      <c r="D50" s="687">
        <f>transport!C18</f>
        <v>0</v>
      </c>
      <c r="E50" s="687">
        <f>transport!D18</f>
        <v>73.403558308867218</v>
      </c>
      <c r="F50" s="687">
        <f>transport!E18</f>
        <v>83.020753600635729</v>
      </c>
      <c r="G50" s="687">
        <f>transport!F18</f>
        <v>0</v>
      </c>
      <c r="H50" s="687">
        <f>transport!G18</f>
        <v>44387.907145276178</v>
      </c>
      <c r="I50" s="687">
        <f>transport!H18</f>
        <v>8313.4461932212562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52907.143870721724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53.086706927875618</v>
      </c>
      <c r="D52" s="717">
        <f t="shared" ref="D52:Q52" ca="1" si="6">SUM(D48:D51)</f>
        <v>0</v>
      </c>
      <c r="E52" s="717">
        <f t="shared" si="6"/>
        <v>73.403558308867218</v>
      </c>
      <c r="F52" s="717">
        <f t="shared" si="6"/>
        <v>83.020753600635729</v>
      </c>
      <c r="G52" s="717">
        <f t="shared" si="6"/>
        <v>0</v>
      </c>
      <c r="H52" s="717">
        <f t="shared" si="6"/>
        <v>44744.133707651948</v>
      </c>
      <c r="I52" s="717">
        <f t="shared" si="6"/>
        <v>8313.4461932212562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53267.090919710587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48.963991171612449</v>
      </c>
      <c r="D54" s="687">
        <f ca="1">+landbouw!C12</f>
        <v>0</v>
      </c>
      <c r="E54" s="687">
        <f>+landbouw!D12</f>
        <v>11.133242533292002</v>
      </c>
      <c r="F54" s="687">
        <f>+landbouw!E12</f>
        <v>1.7169582007219302</v>
      </c>
      <c r="G54" s="687">
        <f>+landbouw!F12</f>
        <v>228.68417112216875</v>
      </c>
      <c r="H54" s="687">
        <f>+landbouw!G12</f>
        <v>0</v>
      </c>
      <c r="I54" s="687">
        <f>+landbouw!H12</f>
        <v>0</v>
      </c>
      <c r="J54" s="687">
        <f>+landbouw!I12</f>
        <v>0</v>
      </c>
      <c r="K54" s="687">
        <f>+landbouw!J12</f>
        <v>23.636353821417046</v>
      </c>
      <c r="L54" s="687">
        <f>+landbouw!K12</f>
        <v>0</v>
      </c>
      <c r="M54" s="687">
        <f>+landbouw!L12</f>
        <v>0</v>
      </c>
      <c r="N54" s="687">
        <f>+landbouw!M12</f>
        <v>0</v>
      </c>
      <c r="O54" s="687">
        <f>+landbouw!N12</f>
        <v>0</v>
      </c>
      <c r="P54" s="687">
        <f>+landbouw!O12</f>
        <v>0</v>
      </c>
      <c r="Q54" s="688">
        <f>+landbouw!P12</f>
        <v>0</v>
      </c>
      <c r="R54" s="716">
        <f ca="1">SUM(C54:Q54)</f>
        <v>314.13471684921217</v>
      </c>
    </row>
    <row r="55" spans="1:18" ht="15" thickBot="1">
      <c r="A55" s="818" t="s">
        <v>714</v>
      </c>
      <c r="B55" s="828"/>
      <c r="C55" s="687">
        <f ca="1">C25*'EF ele_warmte'!B12</f>
        <v>102.54611356639374</v>
      </c>
      <c r="D55" s="687"/>
      <c r="E55" s="687">
        <f>E25*EF_CO2_aardgas</f>
        <v>233.83164075999997</v>
      </c>
      <c r="F55" s="687"/>
      <c r="G55" s="687"/>
      <c r="H55" s="687"/>
      <c r="I55" s="687"/>
      <c r="J55" s="687"/>
      <c r="K55" s="687"/>
      <c r="L55" s="687"/>
      <c r="M55" s="687"/>
      <c r="N55" s="687"/>
      <c r="O55" s="687"/>
      <c r="P55" s="687"/>
      <c r="Q55" s="688"/>
      <c r="R55" s="716">
        <f ca="1">SUM(C55:Q55)</f>
        <v>336.3777543263937</v>
      </c>
    </row>
    <row r="56" spans="1:18" ht="15.75" thickBot="1">
      <c r="A56" s="816" t="s">
        <v>715</v>
      </c>
      <c r="B56" s="829"/>
      <c r="C56" s="717">
        <f ca="1">SUM(C54:C55)</f>
        <v>151.51010473800619</v>
      </c>
      <c r="D56" s="717">
        <f t="shared" ref="D56:Q56" ca="1" si="7">SUM(D54:D55)</f>
        <v>0</v>
      </c>
      <c r="E56" s="717">
        <f t="shared" si="7"/>
        <v>244.96488329329196</v>
      </c>
      <c r="F56" s="717">
        <f t="shared" si="7"/>
        <v>1.7169582007219302</v>
      </c>
      <c r="G56" s="717">
        <f t="shared" si="7"/>
        <v>228.68417112216875</v>
      </c>
      <c r="H56" s="717">
        <f t="shared" si="7"/>
        <v>0</v>
      </c>
      <c r="I56" s="717">
        <f t="shared" si="7"/>
        <v>0</v>
      </c>
      <c r="J56" s="717">
        <f t="shared" si="7"/>
        <v>0</v>
      </c>
      <c r="K56" s="717">
        <f t="shared" si="7"/>
        <v>23.636353821417046</v>
      </c>
      <c r="L56" s="717">
        <f t="shared" si="7"/>
        <v>0</v>
      </c>
      <c r="M56" s="717">
        <f t="shared" si="7"/>
        <v>0</v>
      </c>
      <c r="N56" s="717">
        <f t="shared" si="7"/>
        <v>0</v>
      </c>
      <c r="O56" s="717">
        <f t="shared" si="7"/>
        <v>0</v>
      </c>
      <c r="P56" s="717">
        <f t="shared" si="7"/>
        <v>0</v>
      </c>
      <c r="Q56" s="718">
        <f t="shared" si="7"/>
        <v>0</v>
      </c>
      <c r="R56" s="719">
        <f ca="1">SUM(R54:R55)</f>
        <v>650.51247117560592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7186.9759387257245</v>
      </c>
      <c r="D61" s="725">
        <f t="shared" ref="D61:Q61" ca="1" si="8">D46+D52+D56</f>
        <v>13.749579831932778</v>
      </c>
      <c r="E61" s="725">
        <f t="shared" ca="1" si="8"/>
        <v>9874.5819316248453</v>
      </c>
      <c r="F61" s="725">
        <f t="shared" si="8"/>
        <v>681.03808172215338</v>
      </c>
      <c r="G61" s="725">
        <f t="shared" ca="1" si="8"/>
        <v>10740.340123260374</v>
      </c>
      <c r="H61" s="725">
        <f t="shared" si="8"/>
        <v>44744.133707651948</v>
      </c>
      <c r="I61" s="725">
        <f t="shared" si="8"/>
        <v>8313.4461932212562</v>
      </c>
      <c r="J61" s="725">
        <f t="shared" si="8"/>
        <v>0</v>
      </c>
      <c r="K61" s="725">
        <f t="shared" si="8"/>
        <v>80.085461544639301</v>
      </c>
      <c r="L61" s="725">
        <f t="shared" si="8"/>
        <v>0</v>
      </c>
      <c r="M61" s="725">
        <f t="shared" ca="1" si="8"/>
        <v>0</v>
      </c>
      <c r="N61" s="725">
        <f t="shared" si="8"/>
        <v>0</v>
      </c>
      <c r="O61" s="725">
        <f t="shared" ca="1" si="8"/>
        <v>0</v>
      </c>
      <c r="P61" s="725">
        <f t="shared" si="8"/>
        <v>0</v>
      </c>
      <c r="Q61" s="725">
        <f t="shared" si="8"/>
        <v>0</v>
      </c>
      <c r="R61" s="725">
        <f ca="1">R46+R52+R56</f>
        <v>81634.351017582871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0.20203756502079503</v>
      </c>
      <c r="D63" s="771">
        <f t="shared" ca="1" si="9"/>
        <v>0.23764705882352946</v>
      </c>
      <c r="E63" s="969">
        <f t="shared" ca="1" si="9"/>
        <v>0.20200000000000004</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3055.2711434832186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40.5</v>
      </c>
      <c r="D76" s="952">
        <f>'lokale energieproductie'!C8</f>
        <v>47.647058823529413</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9.6247058823529414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3055.2711434832186</v>
      </c>
      <c r="C78" s="743">
        <f>SUM(C72:C77)</f>
        <v>40.5</v>
      </c>
      <c r="D78" s="744">
        <f t="shared" ref="D78:H78" si="10">SUM(D76:D77)</f>
        <v>47.647058823529413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9.6247058823529414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57.857142857142861</v>
      </c>
      <c r="D87" s="767">
        <f>'lokale energieproductie'!C17</f>
        <v>68.067226890756316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13.749579831932778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57.857142857142861</v>
      </c>
      <c r="D90" s="743">
        <f t="shared" ref="D90:H90" si="12">SUM(D87:D89)</f>
        <v>68.067226890756316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13.749579831932778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24279.632849350462</v>
      </c>
      <c r="C4" s="448">
        <f>huishoudens!C8</f>
        <v>0</v>
      </c>
      <c r="D4" s="448">
        <f>huishoudens!D8</f>
        <v>37025.914724194008</v>
      </c>
      <c r="E4" s="448">
        <f>huishoudens!E8</f>
        <v>2353.958463478421</v>
      </c>
      <c r="F4" s="448">
        <f>huishoudens!F8</f>
        <v>37948.947802023889</v>
      </c>
      <c r="G4" s="448">
        <f>huishoudens!G8</f>
        <v>0</v>
      </c>
      <c r="H4" s="448">
        <f>huishoudens!H8</f>
        <v>0</v>
      </c>
      <c r="I4" s="448">
        <f>huishoudens!I8</f>
        <v>0</v>
      </c>
      <c r="J4" s="448">
        <f>huishoudens!J8</f>
        <v>151.60437336991382</v>
      </c>
      <c r="K4" s="448">
        <f>huishoudens!K8</f>
        <v>0</v>
      </c>
      <c r="L4" s="448">
        <f>huishoudens!L8</f>
        <v>0</v>
      </c>
      <c r="M4" s="448">
        <f>huishoudens!M8</f>
        <v>0</v>
      </c>
      <c r="N4" s="448">
        <f>huishoudens!N8</f>
        <v>7458.3372409333451</v>
      </c>
      <c r="O4" s="448">
        <f>huishoudens!O8</f>
        <v>277.75415071418445</v>
      </c>
      <c r="P4" s="449">
        <f>huishoudens!P8</f>
        <v>832.18278530711677</v>
      </c>
      <c r="Q4" s="450">
        <f>SUM(B4:P4)</f>
        <v>110328.33238937134</v>
      </c>
    </row>
    <row r="5" spans="1:17">
      <c r="A5" s="447" t="s">
        <v>155</v>
      </c>
      <c r="B5" s="448">
        <f ca="1">tertiair!B16</f>
        <v>7694.3457660000004</v>
      </c>
      <c r="C5" s="448">
        <f ca="1">tertiair!C16</f>
        <v>57.857142857142861</v>
      </c>
      <c r="D5" s="448">
        <f ca="1">tertiair!D16</f>
        <v>8655.6977948597141</v>
      </c>
      <c r="E5" s="448">
        <f>tertiair!E16</f>
        <v>106.61949440387116</v>
      </c>
      <c r="F5" s="448">
        <f ca="1">tertiair!F16</f>
        <v>869.36972753346743</v>
      </c>
      <c r="G5" s="448">
        <f>tertiair!G16</f>
        <v>0</v>
      </c>
      <c r="H5" s="448">
        <f>tertiair!H16</f>
        <v>0</v>
      </c>
      <c r="I5" s="448">
        <f>tertiair!I16</f>
        <v>0</v>
      </c>
      <c r="J5" s="448">
        <f>tertiair!J16</f>
        <v>8.9431946734450218E-3</v>
      </c>
      <c r="K5" s="448">
        <f>tertiair!K16</f>
        <v>0</v>
      </c>
      <c r="L5" s="448">
        <f ca="1">tertiair!L16</f>
        <v>0</v>
      </c>
      <c r="M5" s="448">
        <f>tertiair!M16</f>
        <v>0</v>
      </c>
      <c r="N5" s="448">
        <f ca="1">tertiair!N16</f>
        <v>354.47799112193553</v>
      </c>
      <c r="O5" s="448">
        <f>tertiair!O16</f>
        <v>9.7945215316823084</v>
      </c>
      <c r="P5" s="449">
        <f>tertiair!P16</f>
        <v>52.539138306495019</v>
      </c>
      <c r="Q5" s="447">
        <f t="shared" ref="Q5:Q14" ca="1" si="0">SUM(B5:P5)</f>
        <v>17800.710519808981</v>
      </c>
    </row>
    <row r="6" spans="1:17">
      <c r="A6" s="447" t="s">
        <v>193</v>
      </c>
      <c r="B6" s="448">
        <f>'openbare verlichting'!B8</f>
        <v>834.28099999999995</v>
      </c>
      <c r="C6" s="448"/>
      <c r="D6" s="448"/>
      <c r="E6" s="448"/>
      <c r="F6" s="448"/>
      <c r="G6" s="448"/>
      <c r="H6" s="448"/>
      <c r="I6" s="448"/>
      <c r="J6" s="448"/>
      <c r="K6" s="448"/>
      <c r="L6" s="448"/>
      <c r="M6" s="448"/>
      <c r="N6" s="448"/>
      <c r="O6" s="448"/>
      <c r="P6" s="449"/>
      <c r="Q6" s="447">
        <f t="shared" si="0"/>
        <v>834.28099999999995</v>
      </c>
    </row>
    <row r="7" spans="1:17">
      <c r="A7" s="447" t="s">
        <v>111</v>
      </c>
      <c r="B7" s="448">
        <f>landbouw!B8</f>
        <v>242.35092700000001</v>
      </c>
      <c r="C7" s="448">
        <f>landbouw!C8</f>
        <v>0</v>
      </c>
      <c r="D7" s="448">
        <f>landbouw!D8</f>
        <v>55.115062046000006</v>
      </c>
      <c r="E7" s="448">
        <f>landbouw!E8</f>
        <v>7.5636925141935247</v>
      </c>
      <c r="F7" s="448">
        <f>landbouw!F8</f>
        <v>856.49502292947091</v>
      </c>
      <c r="G7" s="448">
        <f>landbouw!G8</f>
        <v>0</v>
      </c>
      <c r="H7" s="448">
        <f>landbouw!H8</f>
        <v>0</v>
      </c>
      <c r="I7" s="448">
        <f>landbouw!I8</f>
        <v>0</v>
      </c>
      <c r="J7" s="448">
        <f>landbouw!J8</f>
        <v>66.76936107744929</v>
      </c>
      <c r="K7" s="448">
        <f>landbouw!K8</f>
        <v>0</v>
      </c>
      <c r="L7" s="448">
        <f>landbouw!L8</f>
        <v>0</v>
      </c>
      <c r="M7" s="448">
        <f>landbouw!M8</f>
        <v>0</v>
      </c>
      <c r="N7" s="448">
        <f>landbouw!N8</f>
        <v>0</v>
      </c>
      <c r="O7" s="448">
        <f>landbouw!O8</f>
        <v>0</v>
      </c>
      <c r="P7" s="449">
        <f>landbouw!P8</f>
        <v>0</v>
      </c>
      <c r="Q7" s="447">
        <f t="shared" si="0"/>
        <v>1228.2940655671136</v>
      </c>
    </row>
    <row r="8" spans="1:17">
      <c r="A8" s="447" t="s">
        <v>618</v>
      </c>
      <c r="B8" s="448">
        <f>industrie!B18</f>
        <v>1751.5467570000001</v>
      </c>
      <c r="C8" s="448">
        <f>industrie!C18</f>
        <v>0</v>
      </c>
      <c r="D8" s="448">
        <f>industrie!D18</f>
        <v>1626.375055316</v>
      </c>
      <c r="E8" s="448">
        <f>industrie!E18</f>
        <v>166.2959184207723</v>
      </c>
      <c r="F8" s="448">
        <f>industrie!F18</f>
        <v>551.18041852580825</v>
      </c>
      <c r="G8" s="448">
        <f>industrie!G18</f>
        <v>0</v>
      </c>
      <c r="H8" s="448">
        <f>industrie!H18</f>
        <v>0</v>
      </c>
      <c r="I8" s="448">
        <f>industrie!I18</f>
        <v>0</v>
      </c>
      <c r="J8" s="448">
        <f>industrie!J18</f>
        <v>7.8474397157015972</v>
      </c>
      <c r="K8" s="448">
        <f>industrie!K18</f>
        <v>0</v>
      </c>
      <c r="L8" s="448">
        <f>industrie!L18</f>
        <v>0</v>
      </c>
      <c r="M8" s="448">
        <f>industrie!M18</f>
        <v>0</v>
      </c>
      <c r="N8" s="448">
        <f>industrie!N18</f>
        <v>87.913342404118282</v>
      </c>
      <c r="O8" s="448">
        <f>industrie!O18</f>
        <v>0</v>
      </c>
      <c r="P8" s="449">
        <f>industrie!P18</f>
        <v>0</v>
      </c>
      <c r="Q8" s="447">
        <f t="shared" si="0"/>
        <v>4191.1589313824006</v>
      </c>
    </row>
    <row r="9" spans="1:17" s="453" customFormat="1">
      <c r="A9" s="451" t="s">
        <v>544</v>
      </c>
      <c r="B9" s="452">
        <f>transport!B14</f>
        <v>244.34179015028633</v>
      </c>
      <c r="C9" s="452">
        <f>transport!C14</f>
        <v>0</v>
      </c>
      <c r="D9" s="452">
        <f>transport!D14</f>
        <v>363.38395202409515</v>
      </c>
      <c r="E9" s="452">
        <f>transport!E14</f>
        <v>365.73019207328514</v>
      </c>
      <c r="F9" s="452">
        <f>transport!F14</f>
        <v>0</v>
      </c>
      <c r="G9" s="452">
        <f>transport!G14</f>
        <v>166246.84324073474</v>
      </c>
      <c r="H9" s="452">
        <f>transport!H14</f>
        <v>33387.334109322313</v>
      </c>
      <c r="I9" s="452">
        <f>transport!I14</f>
        <v>0</v>
      </c>
      <c r="J9" s="452">
        <f>transport!J14</f>
        <v>0</v>
      </c>
      <c r="K9" s="452">
        <f>transport!K14</f>
        <v>0</v>
      </c>
      <c r="L9" s="452">
        <f>transport!L14</f>
        <v>0</v>
      </c>
      <c r="M9" s="452">
        <f>transport!M14</f>
        <v>11793.344496823953</v>
      </c>
      <c r="N9" s="452">
        <f>transport!N14</f>
        <v>0</v>
      </c>
      <c r="O9" s="452">
        <f>transport!O14</f>
        <v>0</v>
      </c>
      <c r="P9" s="452">
        <f>transport!P14</f>
        <v>0</v>
      </c>
      <c r="Q9" s="451">
        <f>SUM(B9:P9)</f>
        <v>212400.97778112869</v>
      </c>
    </row>
    <row r="10" spans="1:17">
      <c r="A10" s="447" t="s">
        <v>534</v>
      </c>
      <c r="B10" s="448">
        <f>transport!B54</f>
        <v>18.414826038448659</v>
      </c>
      <c r="C10" s="448">
        <f>transport!C54</f>
        <v>0</v>
      </c>
      <c r="D10" s="448">
        <f>transport!D54</f>
        <v>0</v>
      </c>
      <c r="E10" s="448">
        <f>transport!E54</f>
        <v>0</v>
      </c>
      <c r="F10" s="448">
        <f>transport!F54</f>
        <v>0</v>
      </c>
      <c r="G10" s="448">
        <f>transport!G54</f>
        <v>1334.1818815571899</v>
      </c>
      <c r="H10" s="448">
        <f>transport!H54</f>
        <v>0</v>
      </c>
      <c r="I10" s="448">
        <f>transport!I54</f>
        <v>0</v>
      </c>
      <c r="J10" s="448">
        <f>transport!J54</f>
        <v>0</v>
      </c>
      <c r="K10" s="448">
        <f>transport!K54</f>
        <v>0</v>
      </c>
      <c r="L10" s="448">
        <f>transport!L54</f>
        <v>0</v>
      </c>
      <c r="M10" s="448">
        <f>transport!M54</f>
        <v>75.465300415915209</v>
      </c>
      <c r="N10" s="448">
        <f>transport!N54</f>
        <v>0</v>
      </c>
      <c r="O10" s="448">
        <f>transport!O54</f>
        <v>0</v>
      </c>
      <c r="P10" s="449">
        <f>transport!P54</f>
        <v>0</v>
      </c>
      <c r="Q10" s="447">
        <f t="shared" si="0"/>
        <v>1428.0620080115536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507.559639</v>
      </c>
      <c r="C14" s="455"/>
      <c r="D14" s="455">
        <f>'SEAP template'!E25</f>
        <v>1157.5823799999998</v>
      </c>
      <c r="E14" s="455"/>
      <c r="F14" s="455"/>
      <c r="G14" s="455"/>
      <c r="H14" s="455"/>
      <c r="I14" s="455"/>
      <c r="J14" s="455"/>
      <c r="K14" s="455"/>
      <c r="L14" s="455"/>
      <c r="M14" s="455"/>
      <c r="N14" s="455"/>
      <c r="O14" s="455"/>
      <c r="P14" s="456"/>
      <c r="Q14" s="447">
        <f t="shared" si="0"/>
        <v>1665.1420189999999</v>
      </c>
    </row>
    <row r="15" spans="1:17" s="459" customFormat="1">
      <c r="A15" s="457" t="s">
        <v>538</v>
      </c>
      <c r="B15" s="458">
        <f ca="1">SUM(B4:B14)</f>
        <v>35572.473554539196</v>
      </c>
      <c r="C15" s="458">
        <f t="shared" ref="C15:Q15" ca="1" si="1">SUM(C4:C14)</f>
        <v>57.857142857142861</v>
      </c>
      <c r="D15" s="458">
        <f t="shared" ca="1" si="1"/>
        <v>48884.068968439817</v>
      </c>
      <c r="E15" s="458">
        <f t="shared" si="1"/>
        <v>3000.1677608905429</v>
      </c>
      <c r="F15" s="458">
        <f t="shared" ca="1" si="1"/>
        <v>40225.992971012638</v>
      </c>
      <c r="G15" s="458">
        <f t="shared" si="1"/>
        <v>167581.02512229193</v>
      </c>
      <c r="H15" s="458">
        <f t="shared" si="1"/>
        <v>33387.334109322313</v>
      </c>
      <c r="I15" s="458">
        <f t="shared" si="1"/>
        <v>0</v>
      </c>
      <c r="J15" s="458">
        <f t="shared" si="1"/>
        <v>226.23011735773812</v>
      </c>
      <c r="K15" s="458">
        <f t="shared" si="1"/>
        <v>0</v>
      </c>
      <c r="L15" s="458">
        <f t="shared" ca="1" si="1"/>
        <v>0</v>
      </c>
      <c r="M15" s="458">
        <f t="shared" si="1"/>
        <v>11868.809797239868</v>
      </c>
      <c r="N15" s="458">
        <f t="shared" ca="1" si="1"/>
        <v>7900.7285744593992</v>
      </c>
      <c r="O15" s="458">
        <f t="shared" si="1"/>
        <v>287.54867224586678</v>
      </c>
      <c r="P15" s="458">
        <f t="shared" si="1"/>
        <v>884.72192361361181</v>
      </c>
      <c r="Q15" s="458">
        <f t="shared" ca="1" si="1"/>
        <v>349876.95871427009</v>
      </c>
    </row>
    <row r="17" spans="1:17">
      <c r="A17" s="460" t="s">
        <v>539</v>
      </c>
      <c r="B17" s="776">
        <f ca="1">huishoudens!B10</f>
        <v>0.20203756502079501</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4905.3979004816747</v>
      </c>
      <c r="C22" s="448">
        <f t="shared" ref="C22:C32" ca="1" si="3">C4*$C$17</f>
        <v>0</v>
      </c>
      <c r="D22" s="448">
        <f t="shared" ref="D22:D32" si="4">D4*$D$17</f>
        <v>7479.2347742871898</v>
      </c>
      <c r="E22" s="448">
        <f t="shared" ref="E22:E32" si="5">E4*$E$17</f>
        <v>534.34857120960157</v>
      </c>
      <c r="F22" s="448">
        <f t="shared" ref="F22:F32" si="6">F4*$F$17</f>
        <v>10132.369063140379</v>
      </c>
      <c r="G22" s="448">
        <f t="shared" ref="G22:G32" si="7">G4*$G$17</f>
        <v>0</v>
      </c>
      <c r="H22" s="448">
        <f t="shared" ref="H22:H32" si="8">H4*$H$17</f>
        <v>0</v>
      </c>
      <c r="I22" s="448">
        <f t="shared" ref="I22:I32" si="9">I4*$I$17</f>
        <v>0</v>
      </c>
      <c r="J22" s="448">
        <f t="shared" ref="J22:J32" si="10">J4*$J$17</f>
        <v>53.667948172949487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23105.018257291795</v>
      </c>
    </row>
    <row r="23" spans="1:17">
      <c r="A23" s="447" t="s">
        <v>155</v>
      </c>
      <c r="B23" s="448">
        <f t="shared" ca="1" si="2"/>
        <v>1554.5468829907038</v>
      </c>
      <c r="C23" s="448">
        <f t="shared" ca="1" si="3"/>
        <v>13.749579831932778</v>
      </c>
      <c r="D23" s="448">
        <f t="shared" ca="1" si="4"/>
        <v>1748.4509545616625</v>
      </c>
      <c r="E23" s="448">
        <f t="shared" si="5"/>
        <v>24.202625229678755</v>
      </c>
      <c r="F23" s="448">
        <f t="shared" ca="1" si="6"/>
        <v>232.12171725143583</v>
      </c>
      <c r="G23" s="448">
        <f t="shared" si="7"/>
        <v>0</v>
      </c>
      <c r="H23" s="448">
        <f t="shared" si="8"/>
        <v>0</v>
      </c>
      <c r="I23" s="448">
        <f t="shared" si="9"/>
        <v>0</v>
      </c>
      <c r="J23" s="448">
        <f t="shared" si="10"/>
        <v>3.1658909143995376E-3</v>
      </c>
      <c r="K23" s="448">
        <f t="shared" si="11"/>
        <v>0</v>
      </c>
      <c r="L23" s="448">
        <f t="shared" ca="1" si="12"/>
        <v>0</v>
      </c>
      <c r="M23" s="448">
        <f t="shared" si="13"/>
        <v>0</v>
      </c>
      <c r="N23" s="448">
        <f t="shared" ca="1" si="14"/>
        <v>0</v>
      </c>
      <c r="O23" s="448">
        <f t="shared" si="15"/>
        <v>0</v>
      </c>
      <c r="P23" s="449">
        <f t="shared" si="16"/>
        <v>0</v>
      </c>
      <c r="Q23" s="447">
        <f t="shared" ref="Q23:Q31" ca="1" si="17">SUM(B23:P23)</f>
        <v>3573.074925756328</v>
      </c>
    </row>
    <row r="24" spans="1:17">
      <c r="A24" s="447" t="s">
        <v>193</v>
      </c>
      <c r="B24" s="448">
        <f t="shared" ca="1" si="2"/>
        <v>168.55610178311386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168.55610178311386</v>
      </c>
    </row>
    <row r="25" spans="1:17">
      <c r="A25" s="447" t="s">
        <v>111</v>
      </c>
      <c r="B25" s="448">
        <f t="shared" ca="1" si="2"/>
        <v>48.963991171612449</v>
      </c>
      <c r="C25" s="448">
        <f t="shared" ca="1" si="3"/>
        <v>0</v>
      </c>
      <c r="D25" s="448">
        <f t="shared" si="4"/>
        <v>11.133242533292002</v>
      </c>
      <c r="E25" s="448">
        <f t="shared" si="5"/>
        <v>1.7169582007219302</v>
      </c>
      <c r="F25" s="448">
        <f t="shared" si="6"/>
        <v>228.68417112216875</v>
      </c>
      <c r="G25" s="448">
        <f t="shared" si="7"/>
        <v>0</v>
      </c>
      <c r="H25" s="448">
        <f t="shared" si="8"/>
        <v>0</v>
      </c>
      <c r="I25" s="448">
        <f t="shared" si="9"/>
        <v>0</v>
      </c>
      <c r="J25" s="448">
        <f t="shared" si="10"/>
        <v>23.636353821417046</v>
      </c>
      <c r="K25" s="448">
        <f t="shared" si="11"/>
        <v>0</v>
      </c>
      <c r="L25" s="448">
        <f t="shared" si="12"/>
        <v>0</v>
      </c>
      <c r="M25" s="448">
        <f t="shared" si="13"/>
        <v>0</v>
      </c>
      <c r="N25" s="448">
        <f t="shared" si="14"/>
        <v>0</v>
      </c>
      <c r="O25" s="448">
        <f t="shared" si="15"/>
        <v>0</v>
      </c>
      <c r="P25" s="449">
        <f t="shared" si="16"/>
        <v>0</v>
      </c>
      <c r="Q25" s="447">
        <f t="shared" ca="1" si="17"/>
        <v>314.13471684921217</v>
      </c>
    </row>
    <row r="26" spans="1:17">
      <c r="A26" s="447" t="s">
        <v>618</v>
      </c>
      <c r="B26" s="448">
        <f t="shared" ca="1" si="2"/>
        <v>353.87824180435013</v>
      </c>
      <c r="C26" s="448">
        <f t="shared" ca="1" si="3"/>
        <v>0</v>
      </c>
      <c r="D26" s="448">
        <f t="shared" si="4"/>
        <v>328.527761173832</v>
      </c>
      <c r="E26" s="448">
        <f t="shared" si="5"/>
        <v>37.749173481515314</v>
      </c>
      <c r="F26" s="448">
        <f t="shared" si="6"/>
        <v>147.1651717463908</v>
      </c>
      <c r="G26" s="448">
        <f t="shared" si="7"/>
        <v>0</v>
      </c>
      <c r="H26" s="448">
        <f t="shared" si="8"/>
        <v>0</v>
      </c>
      <c r="I26" s="448">
        <f t="shared" si="9"/>
        <v>0</v>
      </c>
      <c r="J26" s="448">
        <f t="shared" si="10"/>
        <v>2.7779936593583652</v>
      </c>
      <c r="K26" s="448">
        <f t="shared" si="11"/>
        <v>0</v>
      </c>
      <c r="L26" s="448">
        <f t="shared" si="12"/>
        <v>0</v>
      </c>
      <c r="M26" s="448">
        <f t="shared" si="13"/>
        <v>0</v>
      </c>
      <c r="N26" s="448">
        <f t="shared" si="14"/>
        <v>0</v>
      </c>
      <c r="O26" s="448">
        <f t="shared" si="15"/>
        <v>0</v>
      </c>
      <c r="P26" s="449">
        <f t="shared" si="16"/>
        <v>0</v>
      </c>
      <c r="Q26" s="447">
        <f t="shared" ca="1" si="17"/>
        <v>870.09834186544663</v>
      </c>
    </row>
    <row r="27" spans="1:17" s="453" customFormat="1">
      <c r="A27" s="451" t="s">
        <v>544</v>
      </c>
      <c r="B27" s="770">
        <f t="shared" ca="1" si="2"/>
        <v>49.36622031478592</v>
      </c>
      <c r="C27" s="452">
        <f t="shared" ca="1" si="3"/>
        <v>0</v>
      </c>
      <c r="D27" s="452">
        <f t="shared" si="4"/>
        <v>73.403558308867218</v>
      </c>
      <c r="E27" s="452">
        <f t="shared" si="5"/>
        <v>83.020753600635729</v>
      </c>
      <c r="F27" s="452">
        <f t="shared" si="6"/>
        <v>0</v>
      </c>
      <c r="G27" s="452">
        <f t="shared" si="7"/>
        <v>44387.907145276178</v>
      </c>
      <c r="H27" s="452">
        <f t="shared" si="8"/>
        <v>8313.4461932212562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52907.143870721724</v>
      </c>
    </row>
    <row r="28" spans="1:17" ht="16.5" customHeight="1">
      <c r="A28" s="447" t="s">
        <v>534</v>
      </c>
      <c r="B28" s="448">
        <f t="shared" ca="1" si="2"/>
        <v>3.7204866130897001</v>
      </c>
      <c r="C28" s="448">
        <f t="shared" ca="1" si="3"/>
        <v>0</v>
      </c>
      <c r="D28" s="448">
        <f t="shared" si="4"/>
        <v>0</v>
      </c>
      <c r="E28" s="448">
        <f t="shared" si="5"/>
        <v>0</v>
      </c>
      <c r="F28" s="448">
        <f t="shared" si="6"/>
        <v>0</v>
      </c>
      <c r="G28" s="448">
        <f t="shared" si="7"/>
        <v>356.22656237576973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359.94704898885942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102.54611356639374</v>
      </c>
      <c r="C32" s="448">
        <f t="shared" ca="1" si="3"/>
        <v>0</v>
      </c>
      <c r="D32" s="448">
        <f t="shared" si="4"/>
        <v>233.83164075999997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336.3777543263937</v>
      </c>
    </row>
    <row r="33" spans="1:17" s="459" customFormat="1">
      <c r="A33" s="457" t="s">
        <v>538</v>
      </c>
      <c r="B33" s="458">
        <f ca="1">SUM(B22:B32)</f>
        <v>7186.9759387257245</v>
      </c>
      <c r="C33" s="458">
        <f t="shared" ref="C33:Q33" ca="1" si="19">SUM(C22:C32)</f>
        <v>13.749579831932778</v>
      </c>
      <c r="D33" s="458">
        <f t="shared" ca="1" si="19"/>
        <v>9874.5819316248435</v>
      </c>
      <c r="E33" s="458">
        <f t="shared" si="19"/>
        <v>681.03808172215338</v>
      </c>
      <c r="F33" s="458">
        <f t="shared" ca="1" si="19"/>
        <v>10740.340123260374</v>
      </c>
      <c r="G33" s="458">
        <f t="shared" si="19"/>
        <v>44744.133707651948</v>
      </c>
      <c r="H33" s="458">
        <f t="shared" si="19"/>
        <v>8313.4461932212562</v>
      </c>
      <c r="I33" s="458">
        <f t="shared" si="19"/>
        <v>0</v>
      </c>
      <c r="J33" s="458">
        <f t="shared" si="19"/>
        <v>80.085461544639301</v>
      </c>
      <c r="K33" s="458">
        <f t="shared" si="19"/>
        <v>0</v>
      </c>
      <c r="L33" s="458">
        <f t="shared" ca="1" si="19"/>
        <v>0</v>
      </c>
      <c r="M33" s="458">
        <f t="shared" si="19"/>
        <v>0</v>
      </c>
      <c r="N33" s="458">
        <f t="shared" ca="1" si="19"/>
        <v>0</v>
      </c>
      <c r="O33" s="458">
        <f t="shared" si="19"/>
        <v>0</v>
      </c>
      <c r="P33" s="458">
        <f t="shared" si="19"/>
        <v>0</v>
      </c>
      <c r="Q33" s="458">
        <f t="shared" ca="1" si="19"/>
        <v>81634.351017582885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3055.2711434832186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40.5</v>
      </c>
      <c r="D8" s="1021">
        <f>'SEAP template'!D76</f>
        <v>47.647058823529413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9.6247058823529414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3055.2711434832186</v>
      </c>
      <c r="C10" s="1023">
        <f>SUM(C4:C9)</f>
        <v>40.5</v>
      </c>
      <c r="D10" s="1023">
        <f t="shared" ref="D10:H10" si="0">SUM(D8:D9)</f>
        <v>47.647058823529413</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9.6247058823529414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0.20203756502079501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57.857142857142861</v>
      </c>
      <c r="D17" s="1022">
        <f>'SEAP template'!D87</f>
        <v>68.067226890756316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13.749579831932778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57.857142857142861</v>
      </c>
      <c r="D20" s="1023">
        <f t="shared" ref="D20:H20" si="2">SUM(D17:D19)</f>
        <v>68.067226890756316</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13.749579831932778</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0.20203756502079501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0.20203756502079501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0.20203756502079501</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5165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602.29</v>
      </c>
      <c r="C14" s="326"/>
      <c r="D14" s="326"/>
      <c r="E14" s="326"/>
      <c r="F14" s="326"/>
    </row>
    <row r="15" spans="1:6">
      <c r="A15" s="1298" t="s">
        <v>183</v>
      </c>
      <c r="B15" s="1299">
        <v>1</v>
      </c>
      <c r="C15" s="326"/>
      <c r="D15" s="326"/>
      <c r="E15" s="326"/>
      <c r="F15" s="326"/>
    </row>
    <row r="16" spans="1:6">
      <c r="A16" s="1298" t="s">
        <v>6</v>
      </c>
      <c r="B16" s="1299">
        <v>73</v>
      </c>
      <c r="C16" s="326"/>
      <c r="D16" s="326"/>
      <c r="E16" s="326"/>
      <c r="F16" s="326"/>
    </row>
    <row r="17" spans="1:6">
      <c r="A17" s="1298" t="s">
        <v>7</v>
      </c>
      <c r="B17" s="1299">
        <v>64</v>
      </c>
      <c r="C17" s="326"/>
      <c r="D17" s="326"/>
      <c r="E17" s="326"/>
      <c r="F17" s="326"/>
    </row>
    <row r="18" spans="1:6">
      <c r="A18" s="1298" t="s">
        <v>8</v>
      </c>
      <c r="B18" s="1299">
        <v>100</v>
      </c>
      <c r="C18" s="326"/>
      <c r="D18" s="326"/>
      <c r="E18" s="326"/>
      <c r="F18" s="326"/>
    </row>
    <row r="19" spans="1:6">
      <c r="A19" s="1298" t="s">
        <v>9</v>
      </c>
      <c r="B19" s="1299">
        <v>91</v>
      </c>
      <c r="C19" s="326"/>
      <c r="D19" s="326"/>
      <c r="E19" s="326"/>
      <c r="F19" s="326"/>
    </row>
    <row r="20" spans="1:6">
      <c r="A20" s="1298" t="s">
        <v>10</v>
      </c>
      <c r="B20" s="1299">
        <v>236</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112</v>
      </c>
      <c r="C29" s="332"/>
      <c r="D29" s="332"/>
      <c r="E29" s="332"/>
      <c r="F29" s="332"/>
    </row>
    <row r="30" spans="1:6">
      <c r="A30" s="1293" t="s">
        <v>696</v>
      </c>
      <c r="B30" s="1302">
        <v>22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2480</v>
      </c>
      <c r="D39" s="1299">
        <v>41018505.060000002</v>
      </c>
      <c r="E39" s="1299">
        <v>5014</v>
      </c>
      <c r="F39" s="1299">
        <v>21357227.949999999</v>
      </c>
    </row>
    <row r="40" spans="1:6">
      <c r="A40" s="1298" t="s">
        <v>29</v>
      </c>
      <c r="B40" s="1298" t="s">
        <v>28</v>
      </c>
      <c r="C40" s="1299">
        <v>1</v>
      </c>
      <c r="D40" s="1299">
        <v>30180.886999999999</v>
      </c>
      <c r="E40" s="1299">
        <v>1</v>
      </c>
      <c r="F40" s="1299">
        <v>7109.6629999999996</v>
      </c>
    </row>
    <row r="41" spans="1:6">
      <c r="A41" s="1298" t="s">
        <v>31</v>
      </c>
      <c r="B41" s="1298" t="s">
        <v>32</v>
      </c>
      <c r="C41" s="1299">
        <v>35</v>
      </c>
      <c r="D41" s="1299">
        <v>720810.12399999995</v>
      </c>
      <c r="E41" s="1299">
        <v>87</v>
      </c>
      <c r="F41" s="1299">
        <v>435777.63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53440.374000000003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15</v>
      </c>
      <c r="D48" s="1299">
        <v>843709.13800000004</v>
      </c>
      <c r="E48" s="1299">
        <v>25</v>
      </c>
      <c r="F48" s="1299">
        <v>943407.29399999999</v>
      </c>
    </row>
    <row r="49" spans="1:6">
      <c r="A49" s="1298" t="s">
        <v>31</v>
      </c>
      <c r="B49" s="1298" t="s">
        <v>39</v>
      </c>
      <c r="C49" s="1299">
        <v>0</v>
      </c>
      <c r="D49" s="1299">
        <v>0</v>
      </c>
      <c r="E49" s="1299">
        <v>0</v>
      </c>
      <c r="F49" s="1299">
        <v>0</v>
      </c>
    </row>
    <row r="50" spans="1:6">
      <c r="A50" s="1298" t="s">
        <v>31</v>
      </c>
      <c r="B50" s="1298" t="s">
        <v>40</v>
      </c>
      <c r="C50" s="1299">
        <v>4</v>
      </c>
      <c r="D50" s="1299">
        <v>238557.296</v>
      </c>
      <c r="E50" s="1299">
        <v>9</v>
      </c>
      <c r="F50" s="1299">
        <v>318921.45899999997</v>
      </c>
    </row>
    <row r="51" spans="1:6">
      <c r="A51" s="1298" t="s">
        <v>41</v>
      </c>
      <c r="B51" s="1298" t="s">
        <v>42</v>
      </c>
      <c r="C51" s="1299">
        <v>0</v>
      </c>
      <c r="D51" s="1299">
        <v>0</v>
      </c>
      <c r="E51" s="1299">
        <v>20</v>
      </c>
      <c r="F51" s="1299">
        <v>200825.01800000001</v>
      </c>
    </row>
    <row r="52" spans="1:6">
      <c r="A52" s="1298" t="s">
        <v>41</v>
      </c>
      <c r="B52" s="1298" t="s">
        <v>28</v>
      </c>
      <c r="C52" s="1299">
        <v>3</v>
      </c>
      <c r="D52" s="1299">
        <v>61103.173000000003</v>
      </c>
      <c r="E52" s="1299">
        <v>4</v>
      </c>
      <c r="F52" s="1299">
        <v>41525.909</v>
      </c>
    </row>
    <row r="53" spans="1:6">
      <c r="A53" s="1298" t="s">
        <v>43</v>
      </c>
      <c r="B53" s="1298" t="s">
        <v>44</v>
      </c>
      <c r="C53" s="1299">
        <v>47</v>
      </c>
      <c r="D53" s="1299">
        <v>1157582.3799999999</v>
      </c>
      <c r="E53" s="1299">
        <v>156</v>
      </c>
      <c r="F53" s="1299">
        <v>507559.63900000002</v>
      </c>
    </row>
    <row r="54" spans="1:6">
      <c r="A54" s="1298" t="s">
        <v>45</v>
      </c>
      <c r="B54" s="1298" t="s">
        <v>46</v>
      </c>
      <c r="C54" s="1299">
        <v>0</v>
      </c>
      <c r="D54" s="1299">
        <v>0</v>
      </c>
      <c r="E54" s="1299">
        <v>1</v>
      </c>
      <c r="F54" s="1299">
        <v>834281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1204599.257</v>
      </c>
      <c r="E57" s="1299">
        <v>41</v>
      </c>
      <c r="F57" s="1299">
        <v>379337.255</v>
      </c>
    </row>
    <row r="58" spans="1:6">
      <c r="A58" s="1298" t="s">
        <v>48</v>
      </c>
      <c r="B58" s="1298" t="s">
        <v>50</v>
      </c>
      <c r="C58" s="1299">
        <v>16</v>
      </c>
      <c r="D58" s="1299">
        <v>451147.21500000003</v>
      </c>
      <c r="E58" s="1299">
        <v>35</v>
      </c>
      <c r="F58" s="1299">
        <v>305520.853</v>
      </c>
    </row>
    <row r="59" spans="1:6">
      <c r="A59" s="1298" t="s">
        <v>48</v>
      </c>
      <c r="B59" s="1298" t="s">
        <v>51</v>
      </c>
      <c r="C59" s="1299">
        <v>28</v>
      </c>
      <c r="D59" s="1299">
        <v>713419.53899999999</v>
      </c>
      <c r="E59" s="1299">
        <v>100</v>
      </c>
      <c r="F59" s="1299">
        <v>2000841.128</v>
      </c>
    </row>
    <row r="60" spans="1:6">
      <c r="A60" s="1298" t="s">
        <v>48</v>
      </c>
      <c r="B60" s="1298" t="s">
        <v>52</v>
      </c>
      <c r="C60" s="1299">
        <v>29</v>
      </c>
      <c r="D60" s="1299">
        <v>1863603.6070000001</v>
      </c>
      <c r="E60" s="1299">
        <v>51</v>
      </c>
      <c r="F60" s="1299">
        <v>1630128.0560000001</v>
      </c>
    </row>
    <row r="61" spans="1:6">
      <c r="A61" s="1298" t="s">
        <v>48</v>
      </c>
      <c r="B61" s="1298" t="s">
        <v>53</v>
      </c>
      <c r="C61" s="1299">
        <v>62</v>
      </c>
      <c r="D61" s="1299">
        <v>3052181.3679999998</v>
      </c>
      <c r="E61" s="1299">
        <v>164</v>
      </c>
      <c r="F61" s="1299">
        <v>1971475.548</v>
      </c>
    </row>
    <row r="62" spans="1:6">
      <c r="A62" s="1298" t="s">
        <v>48</v>
      </c>
      <c r="B62" s="1298" t="s">
        <v>54</v>
      </c>
      <c r="C62" s="1299">
        <v>0</v>
      </c>
      <c r="D62" s="1299">
        <v>0</v>
      </c>
      <c r="E62" s="1299">
        <v>4</v>
      </c>
      <c r="F62" s="1299">
        <v>60196.029000000002</v>
      </c>
    </row>
    <row r="63" spans="1:6">
      <c r="A63" s="1298" t="s">
        <v>48</v>
      </c>
      <c r="B63" s="1298" t="s">
        <v>28</v>
      </c>
      <c r="C63" s="1299">
        <v>81</v>
      </c>
      <c r="D63" s="1299">
        <v>2439452.6510000001</v>
      </c>
      <c r="E63" s="1299">
        <v>100</v>
      </c>
      <c r="F63" s="1299">
        <v>1306346.8970000001</v>
      </c>
    </row>
    <row r="64" spans="1:6">
      <c r="A64" s="1298" t="s">
        <v>55</v>
      </c>
      <c r="B64" s="1298" t="s">
        <v>56</v>
      </c>
      <c r="C64" s="1299">
        <v>0</v>
      </c>
      <c r="D64" s="1299">
        <v>0</v>
      </c>
      <c r="E64" s="1299">
        <v>0</v>
      </c>
      <c r="F64" s="1299">
        <v>0</v>
      </c>
    </row>
    <row r="65" spans="1:6">
      <c r="A65" s="1298" t="s">
        <v>55</v>
      </c>
      <c r="B65" s="1298" t="s">
        <v>28</v>
      </c>
      <c r="C65" s="1299">
        <v>3</v>
      </c>
      <c r="D65" s="1299">
        <v>78259.923999999999</v>
      </c>
      <c r="E65" s="1299">
        <v>2</v>
      </c>
      <c r="F65" s="1299">
        <v>16768.951000000001</v>
      </c>
    </row>
    <row r="66" spans="1:6">
      <c r="A66" s="1298" t="s">
        <v>55</v>
      </c>
      <c r="B66" s="1298" t="s">
        <v>57</v>
      </c>
      <c r="C66" s="1299">
        <v>0</v>
      </c>
      <c r="D66" s="1299">
        <v>0</v>
      </c>
      <c r="E66" s="1299">
        <v>7</v>
      </c>
      <c r="F66" s="1299">
        <v>132182.50599999999</v>
      </c>
    </row>
    <row r="67" spans="1:6">
      <c r="A67" s="1300" t="s">
        <v>55</v>
      </c>
      <c r="B67" s="1300" t="s">
        <v>58</v>
      </c>
      <c r="C67" s="1299">
        <v>0</v>
      </c>
      <c r="D67" s="1299">
        <v>0</v>
      </c>
      <c r="E67" s="1299">
        <v>0</v>
      </c>
      <c r="F67" s="1299">
        <v>0</v>
      </c>
    </row>
    <row r="68" spans="1:6">
      <c r="A68" s="1293" t="s">
        <v>55</v>
      </c>
      <c r="B68" s="1293" t="s">
        <v>59</v>
      </c>
      <c r="C68" s="1302">
        <v>0</v>
      </c>
      <c r="D68" s="1302">
        <v>0</v>
      </c>
      <c r="E68" s="1302">
        <v>12</v>
      </c>
      <c r="F68" s="1302">
        <v>132887.459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19015520</v>
      </c>
      <c r="E73" s="446"/>
      <c r="F73" s="326"/>
    </row>
    <row r="74" spans="1:6">
      <c r="A74" s="1298" t="s">
        <v>63</v>
      </c>
      <c r="B74" s="1298" t="s">
        <v>639</v>
      </c>
      <c r="C74" s="1312" t="s">
        <v>641</v>
      </c>
      <c r="D74" s="1313">
        <v>1048687</v>
      </c>
      <c r="E74" s="446"/>
      <c r="F74" s="326"/>
    </row>
    <row r="75" spans="1:6">
      <c r="A75" s="1298" t="s">
        <v>64</v>
      </c>
      <c r="B75" s="1298" t="s">
        <v>638</v>
      </c>
      <c r="C75" s="1312" t="s">
        <v>642</v>
      </c>
      <c r="D75" s="1313">
        <v>27558634</v>
      </c>
      <c r="E75" s="446"/>
      <c r="F75" s="326"/>
    </row>
    <row r="76" spans="1:6">
      <c r="A76" s="1298" t="s">
        <v>64</v>
      </c>
      <c r="B76" s="1298" t="s">
        <v>639</v>
      </c>
      <c r="C76" s="1312" t="s">
        <v>643</v>
      </c>
      <c r="D76" s="1313">
        <v>1251052</v>
      </c>
      <c r="E76" s="446"/>
      <c r="F76" s="326"/>
    </row>
    <row r="77" spans="1:6">
      <c r="A77" s="1298" t="s">
        <v>65</v>
      </c>
      <c r="B77" s="1298" t="s">
        <v>638</v>
      </c>
      <c r="C77" s="1312" t="s">
        <v>644</v>
      </c>
      <c r="D77" s="1313">
        <v>172258456</v>
      </c>
      <c r="E77" s="446"/>
      <c r="F77" s="326"/>
    </row>
    <row r="78" spans="1:6">
      <c r="A78" s="1293" t="s">
        <v>65</v>
      </c>
      <c r="B78" s="1293" t="s">
        <v>639</v>
      </c>
      <c r="C78" s="1293" t="s">
        <v>645</v>
      </c>
      <c r="D78" s="1314">
        <v>21677427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391318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2915.2952363504637</v>
      </c>
      <c r="C91" s="326"/>
      <c r="D91" s="326"/>
      <c r="E91" s="326"/>
      <c r="F91" s="326"/>
    </row>
    <row r="92" spans="1:6">
      <c r="A92" s="1293" t="s">
        <v>68</v>
      </c>
      <c r="B92" s="1294">
        <v>139.97590713275477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664</v>
      </c>
      <c r="C97" s="326"/>
      <c r="D97" s="326"/>
      <c r="E97" s="326"/>
      <c r="F97" s="326"/>
    </row>
    <row r="98" spans="1:6">
      <c r="A98" s="1298" t="s">
        <v>71</v>
      </c>
      <c r="B98" s="1299">
        <v>1</v>
      </c>
      <c r="C98" s="326"/>
      <c r="D98" s="326"/>
      <c r="E98" s="326"/>
      <c r="F98" s="326"/>
    </row>
    <row r="99" spans="1:6">
      <c r="A99" s="1298" t="s">
        <v>72</v>
      </c>
      <c r="B99" s="1299">
        <v>102</v>
      </c>
      <c r="C99" s="326"/>
      <c r="D99" s="326"/>
      <c r="E99" s="326"/>
      <c r="F99" s="326"/>
    </row>
    <row r="100" spans="1:6">
      <c r="A100" s="1298" t="s">
        <v>73</v>
      </c>
      <c r="B100" s="1299">
        <v>471</v>
      </c>
      <c r="C100" s="326"/>
      <c r="D100" s="326"/>
      <c r="E100" s="326"/>
      <c r="F100" s="326"/>
    </row>
    <row r="101" spans="1:6">
      <c r="A101" s="1298" t="s">
        <v>74</v>
      </c>
      <c r="B101" s="1299">
        <v>40</v>
      </c>
      <c r="C101" s="326"/>
      <c r="D101" s="326"/>
      <c r="E101" s="326"/>
      <c r="F101" s="326"/>
    </row>
    <row r="102" spans="1:6">
      <c r="A102" s="1298" t="s">
        <v>75</v>
      </c>
      <c r="B102" s="1299">
        <v>52</v>
      </c>
      <c r="C102" s="326"/>
      <c r="D102" s="326"/>
      <c r="E102" s="326"/>
      <c r="F102" s="326"/>
    </row>
    <row r="103" spans="1:6">
      <c r="A103" s="1298" t="s">
        <v>76</v>
      </c>
      <c r="B103" s="1299">
        <v>128</v>
      </c>
      <c r="C103" s="326"/>
      <c r="D103" s="326"/>
      <c r="E103" s="326"/>
      <c r="F103" s="326"/>
    </row>
    <row r="104" spans="1:6">
      <c r="A104" s="1298" t="s">
        <v>77</v>
      </c>
      <c r="B104" s="1299">
        <v>2995</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43</v>
      </c>
      <c r="C123" s="1299">
        <v>24</v>
      </c>
      <c r="D123" s="326"/>
      <c r="E123" s="326"/>
      <c r="F123" s="326"/>
    </row>
    <row r="124" spans="1:6" s="43" customFormat="1">
      <c r="A124" s="1300" t="s">
        <v>88</v>
      </c>
      <c r="B124" s="1321">
        <v>3</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115</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33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35572.473554539196</v>
      </c>
      <c r="C3" s="43" t="s">
        <v>169</v>
      </c>
      <c r="D3" s="43"/>
      <c r="E3" s="154"/>
      <c r="F3" s="43"/>
      <c r="G3" s="43"/>
      <c r="H3" s="43"/>
      <c r="I3" s="43"/>
      <c r="J3" s="43"/>
      <c r="K3" s="96"/>
    </row>
    <row r="4" spans="1:11">
      <c r="A4" s="354" t="s">
        <v>170</v>
      </c>
      <c r="B4" s="49">
        <f>IF(ISERROR('SEAP template'!B78+'SEAP template'!C78),0,'SEAP template'!B78+'SEAP template'!C78)</f>
        <v>3095.7711434832186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9.6247058823529414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0.20203756502079501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13.749579831932778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57.857142857142861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834.28099999999995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834.28099999999995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0.20203756502079501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168.55610178311386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21364.337613</v>
      </c>
      <c r="C5" s="17">
        <f>IF(ISERROR('Eigen informatie GS &amp; warmtenet'!B59),0,'Eigen informatie GS &amp; warmtenet'!B59)</f>
        <v>0</v>
      </c>
      <c r="D5" s="30">
        <f>(SUM(HH_hh_gas_kWh,HH_rest_gas_kWh)/1000)*0.902</f>
        <v>37025.914724194008</v>
      </c>
      <c r="E5" s="17">
        <f>B32*B41</f>
        <v>2353.958463478421</v>
      </c>
      <c r="F5" s="17">
        <f>B36*B45</f>
        <v>37948.947802023889</v>
      </c>
      <c r="G5" s="18"/>
      <c r="H5" s="17"/>
      <c r="I5" s="17"/>
      <c r="J5" s="17">
        <f>B35*B44+C35*C44</f>
        <v>151.60437336991382</v>
      </c>
      <c r="K5" s="17"/>
      <c r="L5" s="17"/>
      <c r="M5" s="17"/>
      <c r="N5" s="17">
        <f>B34*B43+C34*C43</f>
        <v>7458.3372409333451</v>
      </c>
      <c r="O5" s="17">
        <f>B52*B53*B54</f>
        <v>277.75415071418445</v>
      </c>
      <c r="P5" s="17">
        <f>B60*B61*B62/1000-B60*B61*B62/1000/B63</f>
        <v>832.18278530711677</v>
      </c>
    </row>
    <row r="6" spans="1:16">
      <c r="A6" s="16" t="s">
        <v>604</v>
      </c>
      <c r="B6" s="778">
        <f>kWh_PV_kleiner_dan_10kW</f>
        <v>2915.2952363504637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24279.632849350462</v>
      </c>
      <c r="C8" s="21">
        <f>C5</f>
        <v>0</v>
      </c>
      <c r="D8" s="21">
        <f>D5</f>
        <v>37025.914724194008</v>
      </c>
      <c r="E8" s="21">
        <f>E5</f>
        <v>2353.958463478421</v>
      </c>
      <c r="F8" s="21">
        <f>F5</f>
        <v>37948.947802023889</v>
      </c>
      <c r="G8" s="21"/>
      <c r="H8" s="21"/>
      <c r="I8" s="21"/>
      <c r="J8" s="21">
        <f>J5</f>
        <v>151.60437336991382</v>
      </c>
      <c r="K8" s="21"/>
      <c r="L8" s="21">
        <f>L5</f>
        <v>0</v>
      </c>
      <c r="M8" s="21">
        <f>M5</f>
        <v>0</v>
      </c>
      <c r="N8" s="21">
        <f>N5</f>
        <v>7458.3372409333451</v>
      </c>
      <c r="O8" s="21">
        <f>O5</f>
        <v>277.75415071418445</v>
      </c>
      <c r="P8" s="21">
        <f>P5</f>
        <v>832.18278530711677</v>
      </c>
    </row>
    <row r="9" spans="1:16">
      <c r="B9" s="19"/>
      <c r="C9" s="19"/>
      <c r="D9" s="256"/>
      <c r="E9" s="19"/>
      <c r="F9" s="19"/>
      <c r="G9" s="19"/>
      <c r="H9" s="19"/>
      <c r="I9" s="19"/>
      <c r="J9" s="19"/>
      <c r="K9" s="19"/>
      <c r="L9" s="19"/>
      <c r="M9" s="19"/>
      <c r="N9" s="19"/>
      <c r="O9" s="19"/>
      <c r="P9" s="19"/>
    </row>
    <row r="10" spans="1:16">
      <c r="A10" s="24" t="s">
        <v>213</v>
      </c>
      <c r="B10" s="25">
        <f ca="1">'EF ele_warmte'!B12</f>
        <v>0.20203756502079501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4905.3979004816747</v>
      </c>
      <c r="C12" s="23">
        <f ca="1">C10*C8</f>
        <v>0</v>
      </c>
      <c r="D12" s="23">
        <f>D8*D10</f>
        <v>7479.2347742871898</v>
      </c>
      <c r="E12" s="23">
        <f>E10*E8</f>
        <v>534.34857120960157</v>
      </c>
      <c r="F12" s="23">
        <f>F10*F8</f>
        <v>10132.369063140379</v>
      </c>
      <c r="G12" s="23"/>
      <c r="H12" s="23"/>
      <c r="I12" s="23"/>
      <c r="J12" s="23">
        <f>J10*J8</f>
        <v>53.667948172949487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5165</v>
      </c>
      <c r="C26" s="36"/>
      <c r="D26" s="226"/>
    </row>
    <row r="27" spans="1:7" s="15" customFormat="1">
      <c r="A27" s="228" t="s">
        <v>806</v>
      </c>
      <c r="B27" s="37">
        <f>SUM(HH_hh_gas_aantal,HH_rest_gas_aantal)</f>
        <v>2481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2356.9499999999998</v>
      </c>
      <c r="C31" s="166" t="s">
        <v>110</v>
      </c>
      <c r="D31" s="231"/>
      <c r="G31" s="15"/>
    </row>
    <row r="32" spans="1:7">
      <c r="A32" s="169" t="s">
        <v>72</v>
      </c>
      <c r="B32" s="166">
        <f>IF((B21*($B$26-($B$27-0.05*$B$27)-$B$60))&lt;0,0,B21*($B$26-($B$27-0.05*$B$27)-$B$60))</f>
        <v>43.324210995682492</v>
      </c>
      <c r="C32" s="166" t="s">
        <v>110</v>
      </c>
      <c r="D32" s="231"/>
      <c r="G32" s="15"/>
    </row>
    <row r="33" spans="1:7">
      <c r="A33" s="169" t="s">
        <v>73</v>
      </c>
      <c r="B33" s="166">
        <f>IF((B22*($B$26-($B$27-0.05*$B$27)-$B$60))&lt;0,0,B22*($B$26-($B$27-0.05*$B$27)-$B$60))</f>
        <v>703.49938202822568</v>
      </c>
      <c r="C33" s="166" t="s">
        <v>110</v>
      </c>
      <c r="D33" s="231"/>
      <c r="G33" s="15"/>
    </row>
    <row r="34" spans="1:7">
      <c r="A34" s="169" t="s">
        <v>74</v>
      </c>
      <c r="B34" s="166">
        <f>IF((B24*($B$26-($B$27-0.05*$B$27)-$B$60))&lt;0,0,B24*($B$26-($B$27-0.05*$B$27)-$B$60))</f>
        <v>134.87024609003234</v>
      </c>
      <c r="C34" s="166">
        <f>B26*C24</f>
        <v>1058.3391791008007</v>
      </c>
      <c r="D34" s="231"/>
      <c r="G34" s="15"/>
    </row>
    <row r="35" spans="1:7">
      <c r="A35" s="169" t="s">
        <v>76</v>
      </c>
      <c r="B35" s="166">
        <f>IF((B19*($B$26-($B$27-0.05*$B$27)-$B$60))&lt;0,0,B19*($B$26-($B$27-0.05*$B$27)-$B$60))</f>
        <v>18.832931232077037</v>
      </c>
      <c r="C35" s="166">
        <f>B35/2</f>
        <v>9.4164656160385185</v>
      </c>
      <c r="D35" s="232"/>
      <c r="G35" s="15"/>
    </row>
    <row r="36" spans="1:7">
      <c r="A36" s="169" t="s">
        <v>77</v>
      </c>
      <c r="B36" s="166">
        <f>IF((B18*($B$26-($B$27-0.05*$B$27)-$B$60))&lt;0,0,B18*($B$26-($B$27-0.05*$B$27)-$B$60))</f>
        <v>1828.5232296539821</v>
      </c>
      <c r="C36" s="166" t="s">
        <v>110</v>
      </c>
      <c r="D36" s="232"/>
      <c r="G36" s="15"/>
    </row>
    <row r="37" spans="1:7">
      <c r="A37" s="169" t="s">
        <v>78</v>
      </c>
      <c r="B37" s="166">
        <f>B60</f>
        <v>79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7653.8457660000004</v>
      </c>
      <c r="C5" s="17">
        <f>IF(ISERROR('Eigen informatie GS &amp; warmtenet'!B60),0,'Eigen informatie GS &amp; warmtenet'!B60)</f>
        <v>0</v>
      </c>
      <c r="D5" s="30">
        <f>SUM(D6:D12)</f>
        <v>8771.4120805740004</v>
      </c>
      <c r="E5" s="17">
        <f>SUM(E6:E12)</f>
        <v>106.61949440387116</v>
      </c>
      <c r="F5" s="17">
        <f>SUM(F6:F12)</f>
        <v>869.36972753346743</v>
      </c>
      <c r="G5" s="18"/>
      <c r="H5" s="17"/>
      <c r="I5" s="17"/>
      <c r="J5" s="17">
        <f>SUM(J6:J12)</f>
        <v>8.9431946734450218E-3</v>
      </c>
      <c r="K5" s="17"/>
      <c r="L5" s="17"/>
      <c r="M5" s="17"/>
      <c r="N5" s="17">
        <f>SUM(N6:N12)</f>
        <v>354.47799112193553</v>
      </c>
      <c r="O5" s="17">
        <f>B38*B39*B40</f>
        <v>9.7945215316823084</v>
      </c>
      <c r="P5" s="17">
        <f>B46*B47*B48/1000-B46*B47*B48/1000/B49</f>
        <v>52.539138306495019</v>
      </c>
      <c r="R5" s="32"/>
    </row>
    <row r="6" spans="1:18">
      <c r="A6" s="32" t="s">
        <v>53</v>
      </c>
      <c r="B6" s="37">
        <f>B26</f>
        <v>1971.4755479999999</v>
      </c>
      <c r="C6" s="33"/>
      <c r="D6" s="37">
        <f>IF(ISERROR(TER_kantoor_gas_kWh/1000),0,TER_kantoor_gas_kWh/1000)*0.902</f>
        <v>2753.0675939359999</v>
      </c>
      <c r="E6" s="33">
        <f>$C$26*'E Balans VL '!I12/100/3.6*1000000</f>
        <v>15.863831629896577</v>
      </c>
      <c r="F6" s="33">
        <f>$C$26*('E Balans VL '!L12+'E Balans VL '!N12)/100/3.6*1000000</f>
        <v>241.033625001784</v>
      </c>
      <c r="G6" s="34"/>
      <c r="H6" s="33"/>
      <c r="I6" s="33"/>
      <c r="J6" s="33">
        <f>$C$26*('E Balans VL '!D12+'E Balans VL '!E12)/100/3.6*1000000</f>
        <v>0</v>
      </c>
      <c r="K6" s="33"/>
      <c r="L6" s="33"/>
      <c r="M6" s="33"/>
      <c r="N6" s="33">
        <f>$C$26*'E Balans VL '!Y12/100/3.6*1000000</f>
        <v>1.0595710223871708</v>
      </c>
      <c r="O6" s="33"/>
      <c r="P6" s="33"/>
      <c r="R6" s="32"/>
    </row>
    <row r="7" spans="1:18">
      <c r="A7" s="32" t="s">
        <v>52</v>
      </c>
      <c r="B7" s="37">
        <f t="shared" ref="B7:B12" si="0">B27</f>
        <v>1630.128056</v>
      </c>
      <c r="C7" s="33"/>
      <c r="D7" s="37">
        <f>IF(ISERROR(TER_horeca_gas_kWh/1000),0,TER_horeca_gas_kWh/1000)*0.902</f>
        <v>1680.9704535140002</v>
      </c>
      <c r="E7" s="33">
        <f>$C$27*'E Balans VL '!I9/100/3.6*1000000</f>
        <v>17.50357242675361</v>
      </c>
      <c r="F7" s="33">
        <f>$C$27*('E Balans VL '!L9+'E Balans VL '!N9)/100/3.6*1000000</f>
        <v>196.06487666249956</v>
      </c>
      <c r="G7" s="34"/>
      <c r="H7" s="33"/>
      <c r="I7" s="33"/>
      <c r="J7" s="33">
        <f>$C$27*('E Balans VL '!D9+'E Balans VL '!E9)/100/3.6*1000000</f>
        <v>0</v>
      </c>
      <c r="K7" s="33"/>
      <c r="L7" s="33"/>
      <c r="M7" s="33"/>
      <c r="N7" s="33">
        <f>$C$27*'E Balans VL '!Y9/100/3.6*1000000</f>
        <v>0.24438923445433192</v>
      </c>
      <c r="O7" s="33"/>
      <c r="P7" s="33"/>
      <c r="R7" s="32"/>
    </row>
    <row r="8" spans="1:18">
      <c r="A8" s="6" t="s">
        <v>51</v>
      </c>
      <c r="B8" s="37">
        <f t="shared" si="0"/>
        <v>2000.841128</v>
      </c>
      <c r="C8" s="33"/>
      <c r="D8" s="37">
        <f>IF(ISERROR(TER_handel_gas_kWh/1000),0,TER_handel_gas_kWh/1000)*0.902</f>
        <v>643.50442417800002</v>
      </c>
      <c r="E8" s="33">
        <f>$C$28*'E Balans VL '!I13/100/3.6*1000000</f>
        <v>53.696450359828987</v>
      </c>
      <c r="F8" s="33">
        <f>$C$28*('E Balans VL '!L13+'E Balans VL '!N13)/100/3.6*1000000</f>
        <v>190.94191112484663</v>
      </c>
      <c r="G8" s="34"/>
      <c r="H8" s="33"/>
      <c r="I8" s="33"/>
      <c r="J8" s="33">
        <f>$C$28*('E Balans VL '!D13+'E Balans VL '!E13)/100/3.6*1000000</f>
        <v>0</v>
      </c>
      <c r="K8" s="33"/>
      <c r="L8" s="33"/>
      <c r="M8" s="33"/>
      <c r="N8" s="33">
        <f>$C$28*'E Balans VL '!Y13/100/3.6*1000000</f>
        <v>0.79315617347411105</v>
      </c>
      <c r="O8" s="33"/>
      <c r="P8" s="33"/>
      <c r="R8" s="32"/>
    </row>
    <row r="9" spans="1:18">
      <c r="A9" s="32" t="s">
        <v>50</v>
      </c>
      <c r="B9" s="37">
        <f t="shared" si="0"/>
        <v>305.52085299999999</v>
      </c>
      <c r="C9" s="33"/>
      <c r="D9" s="37">
        <f>IF(ISERROR(TER_gezond_gas_kWh/1000),0,TER_gezond_gas_kWh/1000)*0.902</f>
        <v>406.93478793000003</v>
      </c>
      <c r="E9" s="33">
        <f>$C$29*'E Balans VL '!I10/100/3.6*1000000</f>
        <v>0.57264556043161896</v>
      </c>
      <c r="F9" s="33">
        <f>$C$29*('E Balans VL '!L10+'E Balans VL '!N10)/100/3.6*1000000</f>
        <v>25.116601779584954</v>
      </c>
      <c r="G9" s="34"/>
      <c r="H9" s="33"/>
      <c r="I9" s="33"/>
      <c r="J9" s="33">
        <f>$C$29*('E Balans VL '!D10+'E Balans VL '!E10)/100/3.6*1000000</f>
        <v>0</v>
      </c>
      <c r="K9" s="33"/>
      <c r="L9" s="33"/>
      <c r="M9" s="33"/>
      <c r="N9" s="33">
        <f>$C$29*'E Balans VL '!Y10/100/3.6*1000000</f>
        <v>2.3771801876499672</v>
      </c>
      <c r="O9" s="33"/>
      <c r="P9" s="33"/>
      <c r="R9" s="32"/>
    </row>
    <row r="10" spans="1:18">
      <c r="A10" s="32" t="s">
        <v>49</v>
      </c>
      <c r="B10" s="37">
        <f t="shared" si="0"/>
        <v>379.33725500000003</v>
      </c>
      <c r="C10" s="33"/>
      <c r="D10" s="37">
        <f>IF(ISERROR(TER_ander_gas_kWh/1000),0,TER_ander_gas_kWh/1000)*0.902</f>
        <v>1086.5485298140002</v>
      </c>
      <c r="E10" s="33">
        <f>$C$30*'E Balans VL '!I14/100/3.6*1000000</f>
        <v>0.58475222234751378</v>
      </c>
      <c r="F10" s="33">
        <f>$C$30*('E Balans VL '!L14+'E Balans VL '!N14)/100/3.6*1000000</f>
        <v>58.892213560556733</v>
      </c>
      <c r="G10" s="34"/>
      <c r="H10" s="33"/>
      <c r="I10" s="33"/>
      <c r="J10" s="33">
        <f>$C$30*('E Balans VL '!D14+'E Balans VL '!E14)/100/3.6*1000000</f>
        <v>6.4396499621016245E-3</v>
      </c>
      <c r="K10" s="33"/>
      <c r="L10" s="33"/>
      <c r="M10" s="33"/>
      <c r="N10" s="33">
        <f>$C$30*'E Balans VL '!Y14/100/3.6*1000000</f>
        <v>250.95737024023722</v>
      </c>
      <c r="O10" s="33"/>
      <c r="P10" s="33"/>
      <c r="R10" s="32"/>
    </row>
    <row r="11" spans="1:18">
      <c r="A11" s="32" t="s">
        <v>54</v>
      </c>
      <c r="B11" s="37">
        <f t="shared" si="0"/>
        <v>60.196029000000003</v>
      </c>
      <c r="C11" s="33"/>
      <c r="D11" s="37">
        <f>IF(ISERROR(TER_onderwijs_gas_kWh/1000),0,TER_onderwijs_gas_kWh/1000)*0.902</f>
        <v>0</v>
      </c>
      <c r="E11" s="33">
        <f>$C$31*'E Balans VL '!I11/100/3.6*1000000</f>
        <v>1.5354098817751336</v>
      </c>
      <c r="F11" s="33">
        <f>$C$31*('E Balans VL '!L11+'E Balans VL '!N11)/100/3.6*1000000</f>
        <v>7.2391390738513213</v>
      </c>
      <c r="G11" s="34"/>
      <c r="H11" s="33"/>
      <c r="I11" s="33"/>
      <c r="J11" s="33">
        <f>$C$31*('E Balans VL '!D11+'E Balans VL '!E11)/100/3.6*1000000</f>
        <v>0</v>
      </c>
      <c r="K11" s="33"/>
      <c r="L11" s="33"/>
      <c r="M11" s="33"/>
      <c r="N11" s="33">
        <f>$C$31*'E Balans VL '!Y11/100/3.6*1000000</f>
        <v>0.13387449970023624</v>
      </c>
      <c r="O11" s="33"/>
      <c r="P11" s="33"/>
      <c r="R11" s="32"/>
    </row>
    <row r="12" spans="1:18">
      <c r="A12" s="32" t="s">
        <v>254</v>
      </c>
      <c r="B12" s="37">
        <f t="shared" si="0"/>
        <v>1306.3468970000001</v>
      </c>
      <c r="C12" s="33"/>
      <c r="D12" s="37">
        <f>IF(ISERROR(TER_rest_gas_kWh/1000),0,TER_rest_gas_kWh/1000)*0.902</f>
        <v>2200.3862912019999</v>
      </c>
      <c r="E12" s="33">
        <f>$C$32*'E Balans VL '!I8/100/3.6*1000000</f>
        <v>16.862832322837701</v>
      </c>
      <c r="F12" s="33">
        <f>$C$32*('E Balans VL '!L8+'E Balans VL '!N8)/100/3.6*1000000</f>
        <v>150.0813603303443</v>
      </c>
      <c r="G12" s="34"/>
      <c r="H12" s="33"/>
      <c r="I12" s="33"/>
      <c r="J12" s="33">
        <f>$C$32*('E Balans VL '!D8+'E Balans VL '!E8)/100/3.6*1000000</f>
        <v>2.5035447113433973E-3</v>
      </c>
      <c r="K12" s="33"/>
      <c r="L12" s="33"/>
      <c r="M12" s="33"/>
      <c r="N12" s="33">
        <f>$C$32*'E Balans VL '!Y8/100/3.6*1000000</f>
        <v>98.912449764032473</v>
      </c>
      <c r="O12" s="33"/>
      <c r="P12" s="33"/>
      <c r="R12" s="32"/>
    </row>
    <row r="13" spans="1:18">
      <c r="A13" s="16" t="s">
        <v>471</v>
      </c>
      <c r="B13" s="245">
        <f ca="1">'lokale energieproductie'!N38+'lokale energieproductie'!N31</f>
        <v>40.5</v>
      </c>
      <c r="C13" s="245">
        <f ca="1">'lokale energieproductie'!O38+'lokale energieproductie'!O31</f>
        <v>57.857142857142861</v>
      </c>
      <c r="D13" s="304">
        <f ca="1">('lokale energieproductie'!P31+'lokale energieproductie'!P38)*(-1)</f>
        <v>-115.71428571428572</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7694.3457660000004</v>
      </c>
      <c r="C16" s="21">
        <f t="shared" ca="1" si="1"/>
        <v>57.857142857142861</v>
      </c>
      <c r="D16" s="21">
        <f t="shared" ca="1" si="1"/>
        <v>8655.6977948597141</v>
      </c>
      <c r="E16" s="21">
        <f t="shared" si="1"/>
        <v>106.61949440387116</v>
      </c>
      <c r="F16" s="21">
        <f t="shared" ca="1" si="1"/>
        <v>869.36972753346743</v>
      </c>
      <c r="G16" s="21">
        <f t="shared" si="1"/>
        <v>0</v>
      </c>
      <c r="H16" s="21">
        <f t="shared" si="1"/>
        <v>0</v>
      </c>
      <c r="I16" s="21">
        <f t="shared" si="1"/>
        <v>0</v>
      </c>
      <c r="J16" s="21">
        <f t="shared" si="1"/>
        <v>8.9431946734450218E-3</v>
      </c>
      <c r="K16" s="21">
        <f t="shared" si="1"/>
        <v>0</v>
      </c>
      <c r="L16" s="21">
        <f t="shared" ca="1" si="1"/>
        <v>0</v>
      </c>
      <c r="M16" s="21">
        <f t="shared" si="1"/>
        <v>0</v>
      </c>
      <c r="N16" s="21">
        <f t="shared" ca="1" si="1"/>
        <v>354.47799112193553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0.20203756502079501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1554.5468829907038</v>
      </c>
      <c r="C20" s="23">
        <f t="shared" ref="C20:P20" ca="1" si="2">C16*C18</f>
        <v>13.749579831932778</v>
      </c>
      <c r="D20" s="23">
        <f t="shared" ca="1" si="2"/>
        <v>1748.4509545616625</v>
      </c>
      <c r="E20" s="23">
        <f t="shared" si="2"/>
        <v>24.202625229678755</v>
      </c>
      <c r="F20" s="23">
        <f t="shared" ca="1" si="2"/>
        <v>232.12171725143583</v>
      </c>
      <c r="G20" s="23">
        <f t="shared" si="2"/>
        <v>0</v>
      </c>
      <c r="H20" s="23">
        <f t="shared" si="2"/>
        <v>0</v>
      </c>
      <c r="I20" s="23">
        <f t="shared" si="2"/>
        <v>0</v>
      </c>
      <c r="J20" s="23">
        <f t="shared" si="2"/>
        <v>3.1658909143995376E-3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1971.4755479999999</v>
      </c>
      <c r="C26" s="39">
        <f>IF(ISERROR(B26*3.6/1000000/'E Balans VL '!Z12*100),0,B26*3.6/1000000/'E Balans VL '!Z12*100)</f>
        <v>4.1823050057818265E-2</v>
      </c>
      <c r="D26" s="235" t="s">
        <v>698</v>
      </c>
      <c r="F26" s="6"/>
    </row>
    <row r="27" spans="1:18">
      <c r="A27" s="229" t="s">
        <v>52</v>
      </c>
      <c r="B27" s="33">
        <f>IF(ISERROR(TER_horeca_ele_kWh/1000),0,TER_horeca_ele_kWh/1000)</f>
        <v>1630.128056</v>
      </c>
      <c r="C27" s="39">
        <f>IF(ISERROR(B27*3.6/1000000/'E Balans VL '!Z9*100),0,B27*3.6/1000000/'E Balans VL '!Z9*100)</f>
        <v>0.1227630831168738</v>
      </c>
      <c r="D27" s="235" t="s">
        <v>698</v>
      </c>
      <c r="F27" s="6"/>
    </row>
    <row r="28" spans="1:18">
      <c r="A28" s="169" t="s">
        <v>51</v>
      </c>
      <c r="B28" s="33">
        <f>IF(ISERROR(TER_handel_ele_kWh/1000),0,TER_handel_ele_kWh/1000)</f>
        <v>2000.841128</v>
      </c>
      <c r="C28" s="39">
        <f>IF(ISERROR(B28*3.6/1000000/'E Balans VL '!Z13*100),0,B28*3.6/1000000/'E Balans VL '!Z13*100)</f>
        <v>5.8077328412585331E-2</v>
      </c>
      <c r="D28" s="235" t="s">
        <v>698</v>
      </c>
      <c r="F28" s="6"/>
    </row>
    <row r="29" spans="1:18">
      <c r="A29" s="229" t="s">
        <v>50</v>
      </c>
      <c r="B29" s="33">
        <f>IF(ISERROR(TER_gezond_ele_kWh/1000),0,TER_gezond_ele_kWh/1000)</f>
        <v>305.52085299999999</v>
      </c>
      <c r="C29" s="39">
        <f>IF(ISERROR(B29*3.6/1000000/'E Balans VL '!Z10*100),0,B29*3.6/1000000/'E Balans VL '!Z10*100)</f>
        <v>3.0812142373506789E-2</v>
      </c>
      <c r="D29" s="235" t="s">
        <v>698</v>
      </c>
      <c r="F29" s="6"/>
    </row>
    <row r="30" spans="1:18">
      <c r="A30" s="229" t="s">
        <v>49</v>
      </c>
      <c r="B30" s="33">
        <f>IF(ISERROR(TER_ander_ele_kWh/1000),0,TER_ander_ele_kWh/1000)</f>
        <v>379.33725500000003</v>
      </c>
      <c r="C30" s="39">
        <f>IF(ISERROR(B30*3.6/1000000/'E Balans VL '!Z14*100),0,B30*3.6/1000000/'E Balans VL '!Z14*100)</f>
        <v>2.7526092959290756E-2</v>
      </c>
      <c r="D30" s="235" t="s">
        <v>698</v>
      </c>
      <c r="F30" s="6"/>
    </row>
    <row r="31" spans="1:18">
      <c r="A31" s="229" t="s">
        <v>54</v>
      </c>
      <c r="B31" s="33">
        <f>IF(ISERROR(TER_onderwijs_ele_kWh/1000),0,TER_onderwijs_ele_kWh/1000)</f>
        <v>60.196029000000003</v>
      </c>
      <c r="C31" s="39">
        <f>IF(ISERROR(B31*3.6/1000000/'E Balans VL '!Z11*100),0,B31*3.6/1000000/'E Balans VL '!Z11*100)</f>
        <v>1.7158319561442131E-2</v>
      </c>
      <c r="D31" s="235" t="s">
        <v>698</v>
      </c>
    </row>
    <row r="32" spans="1:18">
      <c r="A32" s="229" t="s">
        <v>254</v>
      </c>
      <c r="B32" s="33">
        <f>IF(ISERROR(TER_rest_ele_kWh/1000),0,TER_rest_ele_kWh/1000)</f>
        <v>1306.3468970000001</v>
      </c>
      <c r="C32" s="39">
        <f>IF(ISERROR(B32*3.6/1000000/'E Balans VL '!Z8*100),0,B32*3.6/1000000/'E Balans VL '!Z8*100)</f>
        <v>1.0701327689818864E-2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1751.5467570000001</v>
      </c>
      <c r="C5" s="17">
        <f>IF(ISERROR('Eigen informatie GS &amp; warmtenet'!B61),0,'Eigen informatie GS &amp; warmtenet'!B61)</f>
        <v>0</v>
      </c>
      <c r="D5" s="30">
        <f>SUM(D6:D15)</f>
        <v>1626.375055316</v>
      </c>
      <c r="E5" s="17">
        <f>SUM(E6:E15)</f>
        <v>166.2959184207723</v>
      </c>
      <c r="F5" s="17">
        <f>SUM(F6:F15)</f>
        <v>551.18041852580825</v>
      </c>
      <c r="G5" s="18"/>
      <c r="H5" s="17"/>
      <c r="I5" s="17"/>
      <c r="J5" s="17">
        <f>SUM(J6:J15)</f>
        <v>7.8474397157015972</v>
      </c>
      <c r="K5" s="17"/>
      <c r="L5" s="17"/>
      <c r="M5" s="17"/>
      <c r="N5" s="17">
        <f>SUM(N6:N15)</f>
        <v>87.913342404118282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53.440374000000006</v>
      </c>
      <c r="C8" s="33"/>
      <c r="D8" s="37">
        <f>IF( ISERROR(IND_metaal_Gas_kWH/1000),0,IND_metaal_Gas_kWH/1000)*0.902</f>
        <v>0</v>
      </c>
      <c r="E8" s="33">
        <f>C30*'E Balans VL '!I18/100/3.6*1000000</f>
        <v>0.38553479045004935</v>
      </c>
      <c r="F8" s="33">
        <f>C30*'E Balans VL '!L18/100/3.6*1000000+C30*'E Balans VL '!N18/100/3.6*1000000</f>
        <v>5.0544740089289224</v>
      </c>
      <c r="G8" s="34"/>
      <c r="H8" s="33"/>
      <c r="I8" s="33"/>
      <c r="J8" s="40">
        <f>C30*'E Balans VL '!D18/100/3.6*1000000+C30*'E Balans VL '!E18/100/3.6*1000000</f>
        <v>5.3750638721800775E-2</v>
      </c>
      <c r="K8" s="33"/>
      <c r="L8" s="33"/>
      <c r="M8" s="33"/>
      <c r="N8" s="33">
        <f>C30*'E Balans VL '!Y18/100/3.6*1000000</f>
        <v>0.67562771663074306</v>
      </c>
      <c r="O8" s="33"/>
      <c r="P8" s="33"/>
      <c r="R8" s="32"/>
    </row>
    <row r="9" spans="1:18">
      <c r="A9" s="6" t="s">
        <v>32</v>
      </c>
      <c r="B9" s="37">
        <f t="shared" si="0"/>
        <v>435.77762999999999</v>
      </c>
      <c r="C9" s="33"/>
      <c r="D9" s="37">
        <f>IF( ISERROR(IND_andere_gas_kWh/1000),0,IND_andere_gas_kWh/1000)*0.902</f>
        <v>650.17073184799995</v>
      </c>
      <c r="E9" s="33">
        <f>C31*'E Balans VL '!I19/100/3.6*1000000</f>
        <v>120.75980834994228</v>
      </c>
      <c r="F9" s="33">
        <f>C31*'E Balans VL '!L19/100/3.6*1000000+C31*'E Balans VL '!N19/100/3.6*1000000</f>
        <v>361.17344146671627</v>
      </c>
      <c r="G9" s="34"/>
      <c r="H9" s="33"/>
      <c r="I9" s="33"/>
      <c r="J9" s="40">
        <f>C31*'E Balans VL '!D19/100/3.6*1000000+C31*'E Balans VL '!E19/100/3.6*1000000</f>
        <v>0</v>
      </c>
      <c r="K9" s="33"/>
      <c r="L9" s="33"/>
      <c r="M9" s="33"/>
      <c r="N9" s="33">
        <f>C31*'E Balans VL '!Y19/100/3.6*1000000</f>
        <v>31.632125800553673</v>
      </c>
      <c r="O9" s="33"/>
      <c r="P9" s="33"/>
      <c r="R9" s="32"/>
    </row>
    <row r="10" spans="1:18">
      <c r="A10" s="6" t="s">
        <v>40</v>
      </c>
      <c r="B10" s="37">
        <f t="shared" si="0"/>
        <v>318.92145899999997</v>
      </c>
      <c r="C10" s="33"/>
      <c r="D10" s="37">
        <f>IF( ISERROR(IND_voed_gas_kWh/1000),0,IND_voed_gas_kWh/1000)*0.902</f>
        <v>215.17868099200001</v>
      </c>
      <c r="E10" s="33">
        <f>C32*'E Balans VL '!I20/100/3.6*1000000</f>
        <v>0.56459900805399532</v>
      </c>
      <c r="F10" s="33">
        <f>C32*'E Balans VL '!L20/100/3.6*1000000+C32*'E Balans VL '!N20/100/3.6*1000000</f>
        <v>17.224585361536313</v>
      </c>
      <c r="G10" s="34"/>
      <c r="H10" s="33"/>
      <c r="I10" s="33"/>
      <c r="J10" s="40">
        <f>C32*'E Balans VL '!D20/100/3.6*1000000+C32*'E Balans VL '!E20/100/3.6*1000000</f>
        <v>0</v>
      </c>
      <c r="K10" s="33"/>
      <c r="L10" s="33"/>
      <c r="M10" s="33"/>
      <c r="N10" s="33">
        <f>C32*'E Balans VL '!Y20/100/3.6*1000000</f>
        <v>18.531772401432541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943.40729399999998</v>
      </c>
      <c r="C15" s="33"/>
      <c r="D15" s="37">
        <f>IF( ISERROR(IND_rest_gas_kWh/1000),0,IND_rest_gas_kWh/1000)*0.902</f>
        <v>761.02564247600003</v>
      </c>
      <c r="E15" s="33">
        <f>C37*'E Balans VL '!I15/100/3.6*1000000</f>
        <v>44.585976272325972</v>
      </c>
      <c r="F15" s="33">
        <f>C37*'E Balans VL '!L15/100/3.6*1000000+C37*'E Balans VL '!N15/100/3.6*1000000</f>
        <v>167.72791768862677</v>
      </c>
      <c r="G15" s="34"/>
      <c r="H15" s="33"/>
      <c r="I15" s="33"/>
      <c r="J15" s="40">
        <f>C37*'E Balans VL '!D15/100/3.6*1000000+C37*'E Balans VL '!E15/100/3.6*1000000</f>
        <v>7.7936890769797964</v>
      </c>
      <c r="K15" s="33"/>
      <c r="L15" s="33"/>
      <c r="M15" s="33"/>
      <c r="N15" s="33">
        <f>C37*'E Balans VL '!Y15/100/3.6*1000000</f>
        <v>37.073816485501318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1751.5467570000001</v>
      </c>
      <c r="C18" s="21">
        <f>C5+C16</f>
        <v>0</v>
      </c>
      <c r="D18" s="21">
        <f>MAX((D5+D16),0)</f>
        <v>1626.375055316</v>
      </c>
      <c r="E18" s="21">
        <f>MAX((E5+E16),0)</f>
        <v>166.2959184207723</v>
      </c>
      <c r="F18" s="21">
        <f>MAX((F5+F16),0)</f>
        <v>551.18041852580825</v>
      </c>
      <c r="G18" s="21"/>
      <c r="H18" s="21"/>
      <c r="I18" s="21"/>
      <c r="J18" s="21">
        <f>MAX((J5+J16),0)</f>
        <v>7.8474397157015972</v>
      </c>
      <c r="K18" s="21"/>
      <c r="L18" s="21">
        <f>MAX((L5+L16),0)</f>
        <v>0</v>
      </c>
      <c r="M18" s="21"/>
      <c r="N18" s="21">
        <f>MAX((N5+N16),0)</f>
        <v>87.913342404118282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0.20203756502079501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353.87824180435013</v>
      </c>
      <c r="C22" s="23">
        <f ca="1">C18*C20</f>
        <v>0</v>
      </c>
      <c r="D22" s="23">
        <f>D18*D20</f>
        <v>328.527761173832</v>
      </c>
      <c r="E22" s="23">
        <f>E18*E20</f>
        <v>37.749173481515314</v>
      </c>
      <c r="F22" s="23">
        <f>F18*F20</f>
        <v>147.1651717463908</v>
      </c>
      <c r="G22" s="23"/>
      <c r="H22" s="23"/>
      <c r="I22" s="23"/>
      <c r="J22" s="23">
        <f>J18*J20</f>
        <v>2.7779936593583652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53.440374000000006</v>
      </c>
      <c r="C30" s="39">
        <f>IF(ISERROR(B30*3.6/1000000/'E Balans VL '!Z18*100),0,B30*3.6/1000000/'E Balans VL '!Z18*100)</f>
        <v>3.0850294054570633E-3</v>
      </c>
      <c r="D30" s="235" t="s">
        <v>698</v>
      </c>
    </row>
    <row r="31" spans="1:18">
      <c r="A31" s="6" t="s">
        <v>32</v>
      </c>
      <c r="B31" s="37">
        <f>IF( ISERROR(IND_ander_ele_kWh/1000),0,IND_ander_ele_kWh/1000)</f>
        <v>435.77762999999999</v>
      </c>
      <c r="C31" s="39">
        <f>IF(ISERROR(B31*3.6/1000000/'E Balans VL '!Z19*100),0,B31*3.6/1000000/'E Balans VL '!Z19*100)</f>
        <v>2.1918202270506448E-2</v>
      </c>
      <c r="D31" s="235" t="s">
        <v>698</v>
      </c>
    </row>
    <row r="32" spans="1:18">
      <c r="A32" s="169" t="s">
        <v>40</v>
      </c>
      <c r="B32" s="37">
        <f>IF( ISERROR(IND_voed_ele_kWh/1000),0,IND_voed_ele_kWh/1000)</f>
        <v>318.92145899999997</v>
      </c>
      <c r="C32" s="39">
        <f>IF(ISERROR(B32*3.6/1000000/'E Balans VL '!Z20*100),0,B32*3.6/1000000/'E Balans VL '!Z20*100)</f>
        <v>1.0621978419443288E-2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943.40729399999998</v>
      </c>
      <c r="C37" s="39">
        <f>IF(ISERROR(B37*3.6/1000000/'E Balans VL '!Z15*100),0,B37*3.6/1000000/'E Balans VL '!Z15*100)</f>
        <v>7.3611567642139792E-3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242.35092700000001</v>
      </c>
      <c r="C5" s="17">
        <f>'Eigen informatie GS &amp; warmtenet'!B62</f>
        <v>0</v>
      </c>
      <c r="D5" s="30">
        <f>IF(ISERROR(SUM(LB_lb_gas_kWh,LB_rest_gas_kWh)/1000),0,SUM(LB_lb_gas_kWh,LB_rest_gas_kWh)/1000)*0.902</f>
        <v>55.115062046000006</v>
      </c>
      <c r="E5" s="17">
        <f>B17*'E Balans VL '!I25/3.6*1000000/100</f>
        <v>7.5636925141935247</v>
      </c>
      <c r="F5" s="17">
        <f>B17*('E Balans VL '!L25/3.6*1000000+'E Balans VL '!N25/3.6*1000000)/100</f>
        <v>856.49502292947091</v>
      </c>
      <c r="G5" s="18"/>
      <c r="H5" s="17"/>
      <c r="I5" s="17"/>
      <c r="J5" s="17">
        <f>('E Balans VL '!D25+'E Balans VL '!E25)/3.6*1000000*landbouw!B17/100</f>
        <v>66.76936107744929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242.35092700000001</v>
      </c>
      <c r="C8" s="21">
        <f>C5+C6</f>
        <v>0</v>
      </c>
      <c r="D8" s="21">
        <f>MAX((D5+D6),0)</f>
        <v>55.115062046000006</v>
      </c>
      <c r="E8" s="21">
        <f>MAX((E5+E6),0)</f>
        <v>7.5636925141935247</v>
      </c>
      <c r="F8" s="21">
        <f>MAX((F5+F6),0)</f>
        <v>856.49502292947091</v>
      </c>
      <c r="G8" s="21"/>
      <c r="H8" s="21"/>
      <c r="I8" s="21"/>
      <c r="J8" s="21">
        <f>MAX((J5+J6),0)</f>
        <v>66.76936107744929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0.20203756502079501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48.963991171612449</v>
      </c>
      <c r="C12" s="23">
        <f ca="1">C8*C10</f>
        <v>0</v>
      </c>
      <c r="D12" s="23">
        <f>D8*D10</f>
        <v>11.133242533292002</v>
      </c>
      <c r="E12" s="23">
        <f>E8*E10</f>
        <v>1.7169582007219302</v>
      </c>
      <c r="F12" s="23">
        <f>F8*F10</f>
        <v>228.68417112216875</v>
      </c>
      <c r="G12" s="23"/>
      <c r="H12" s="23"/>
      <c r="I12" s="23"/>
      <c r="J12" s="23">
        <f>J8*J10</f>
        <v>23.636353821417046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3.6027202634558983E-2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33.500976782603125</v>
      </c>
      <c r="C26" s="245">
        <f>B26*'GWP N2O_CH4'!B5</f>
        <v>703.52051243466565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4.0544005138952386</v>
      </c>
      <c r="C27" s="245">
        <f>B27*'GWP N2O_CH4'!B5</f>
        <v>85.142410791800017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0.51939125485820925</v>
      </c>
      <c r="C28" s="245">
        <f>B28*'GWP N2O_CH4'!B4</f>
        <v>161.01128900604488</v>
      </c>
      <c r="D28" s="50"/>
    </row>
    <row r="29" spans="1:4">
      <c r="A29" s="41" t="s">
        <v>271</v>
      </c>
      <c r="B29" s="245">
        <f>B34*'ha_N2O bodem landbouw'!B4</f>
        <v>4.0665769344278715</v>
      </c>
      <c r="C29" s="245">
        <f>B29*'GWP N2O_CH4'!B4</f>
        <v>1260.6388496726402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8.9172710464860015E-4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8.7963044454103078E-4</v>
      </c>
      <c r="C5" s="433" t="s">
        <v>210</v>
      </c>
      <c r="D5" s="418">
        <f>SUM(D6:D11)</f>
        <v>1.3081822272867426E-3</v>
      </c>
      <c r="E5" s="418">
        <f>SUM(E6:E11)</f>
        <v>1.3166286914638265E-3</v>
      </c>
      <c r="F5" s="431" t="s">
        <v>210</v>
      </c>
      <c r="G5" s="418">
        <f>SUM(G6:G11)</f>
        <v>0.59848863566664501</v>
      </c>
      <c r="H5" s="418">
        <f>SUM(H6:H11)</f>
        <v>0.12019440279356033</v>
      </c>
      <c r="I5" s="433" t="s">
        <v>210</v>
      </c>
      <c r="J5" s="433" t="s">
        <v>210</v>
      </c>
      <c r="K5" s="433" t="s">
        <v>210</v>
      </c>
      <c r="L5" s="433" t="s">
        <v>210</v>
      </c>
      <c r="M5" s="418">
        <f>SUM(M6:M11)</f>
        <v>4.2456040188566233E-2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6.1692757931723966E-5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1.0414337411835875E-4</v>
      </c>
      <c r="E6" s="884">
        <f>vkm_GW_PW*SUMIFS(TableVerdeelsleutelVkm[LPG],TableVerdeelsleutelVkm[Voertuigtype],"Lichte voertuigen")*SUMIFS(TableECFTransport[EnergieConsumptieFactor (PJ per km)],TableECFTransport[Index],CONCATENATE($A6,"_LPG_LPG"))</f>
        <v>9.1257967548044312E-5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2.8507216675720256E-2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9.2896066172674461E-3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2.2582786844820182E-3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2.6072109917422683E-7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9.9509952665451269E-3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1.3832202422921521E-7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5.7359904963441859E-4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1.1902583819778481E-4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2.5655873393444077E-4</v>
      </c>
      <c r="E8" s="421">
        <f>vkm_NGW_PW*SUMIFS(TableVerdeelsleutelVkm[LPG],TableVerdeelsleutelVkm[Voertuigtype],"Lichte voertuigen")*SUMIFS(TableECFTransport[EnergieConsumptieFactor (PJ per km)],TableECFTransport[Index],CONCATENATE($A8,"_LPG_LPG"))</f>
        <v>2.1535845269084807E-4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6.215505319752769E-2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2.2553328811457697E-2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5.0760033455328089E-3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3.1103241726474611E-7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1.5261393536456074E-2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1.9917611602740375E-7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8.7970218593435721E-4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6.9295072457323378E-4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9.4748011923394292E-4</v>
      </c>
      <c r="E10" s="421">
        <f>vkm_SW_PW*SUMIFS(TableVerdeelsleutelVkm[LPG],TableVerdeelsleutelVkm[Voertuigtype],"Lichte voertuigen")*SUMIFS(TableECFTransport[EnergieConsumptieFactor (PJ per km)],TableECFTransport[Index],CONCATENATE($A10,"_LPG_LPG"))</f>
        <v>1.010012271224934E-3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0.28751986039950478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8.8348186911682655E-2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2.2422752435798974E-2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5.3893703218491902E-6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0.1950941165908911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2.942955012264416E-6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1.124570448718366E-2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244.34179015028633</v>
      </c>
      <c r="C14" s="21"/>
      <c r="D14" s="21">
        <f t="shared" ref="D14:M14" si="0">((D5)*10^9/3600)+D12</f>
        <v>363.38395202409515</v>
      </c>
      <c r="E14" s="21">
        <f t="shared" si="0"/>
        <v>365.73019207328514</v>
      </c>
      <c r="F14" s="21"/>
      <c r="G14" s="21">
        <f t="shared" si="0"/>
        <v>166246.84324073474</v>
      </c>
      <c r="H14" s="21">
        <f t="shared" si="0"/>
        <v>33387.334109322313</v>
      </c>
      <c r="I14" s="21"/>
      <c r="J14" s="21"/>
      <c r="K14" s="21"/>
      <c r="L14" s="21"/>
      <c r="M14" s="21">
        <f t="shared" si="0"/>
        <v>11793.344496823953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0.20203756502079501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49.36622031478592</v>
      </c>
      <c r="C18" s="23"/>
      <c r="D18" s="23">
        <f t="shared" ref="D18:M18" si="1">D14*D16</f>
        <v>73.403558308867218</v>
      </c>
      <c r="E18" s="23">
        <f t="shared" si="1"/>
        <v>83.020753600635729</v>
      </c>
      <c r="F18" s="23"/>
      <c r="G18" s="23">
        <f t="shared" si="1"/>
        <v>44387.907145276178</v>
      </c>
      <c r="H18" s="23">
        <f t="shared" si="1"/>
        <v>8313.4461932212562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6.6293373738415172E-5</v>
      </c>
      <c r="C50" s="315">
        <f t="shared" ref="C50:P50" si="2">SUM(C51:C52)</f>
        <v>0</v>
      </c>
      <c r="D50" s="315">
        <f t="shared" si="2"/>
        <v>0</v>
      </c>
      <c r="E50" s="315">
        <f t="shared" si="2"/>
        <v>0</v>
      </c>
      <c r="F50" s="315">
        <f t="shared" si="2"/>
        <v>0</v>
      </c>
      <c r="G50" s="315">
        <f t="shared" si="2"/>
        <v>4.8030547736058827E-3</v>
      </c>
      <c r="H50" s="315">
        <f t="shared" si="2"/>
        <v>0</v>
      </c>
      <c r="I50" s="315">
        <f t="shared" si="2"/>
        <v>0</v>
      </c>
      <c r="J50" s="315">
        <f t="shared" si="2"/>
        <v>0</v>
      </c>
      <c r="K50" s="315">
        <f t="shared" si="2"/>
        <v>0</v>
      </c>
      <c r="L50" s="315">
        <f t="shared" si="2"/>
        <v>0</v>
      </c>
      <c r="M50" s="315">
        <f t="shared" si="2"/>
        <v>2.7167508149729478E-4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6.6293373738415172E-5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4.8030547736058827E-3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2.7167508149729478E-4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18.414826038448659</v>
      </c>
      <c r="C54" s="21">
        <f t="shared" ref="C54:P54" si="3">(C50)*10^9/3600</f>
        <v>0</v>
      </c>
      <c r="D54" s="21">
        <f t="shared" si="3"/>
        <v>0</v>
      </c>
      <c r="E54" s="21">
        <f t="shared" si="3"/>
        <v>0</v>
      </c>
      <c r="F54" s="21">
        <f t="shared" si="3"/>
        <v>0</v>
      </c>
      <c r="G54" s="21">
        <f t="shared" si="3"/>
        <v>1334.1818815571899</v>
      </c>
      <c r="H54" s="21">
        <f t="shared" si="3"/>
        <v>0</v>
      </c>
      <c r="I54" s="21">
        <f t="shared" si="3"/>
        <v>0</v>
      </c>
      <c r="J54" s="21">
        <f t="shared" si="3"/>
        <v>0</v>
      </c>
      <c r="K54" s="21">
        <f t="shared" si="3"/>
        <v>0</v>
      </c>
      <c r="L54" s="21">
        <f t="shared" si="3"/>
        <v>0</v>
      </c>
      <c r="M54" s="21">
        <f t="shared" si="3"/>
        <v>75.465300415915209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0.20203756502079501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3.7204866130897001</v>
      </c>
      <c r="C58" s="23">
        <f t="shared" ref="C58:P58" ca="1" si="4">C54*C56</f>
        <v>0</v>
      </c>
      <c r="D58" s="23">
        <f t="shared" si="4"/>
        <v>0</v>
      </c>
      <c r="E58" s="23">
        <f t="shared" si="4"/>
        <v>0</v>
      </c>
      <c r="F58" s="23">
        <f t="shared" si="4"/>
        <v>0</v>
      </c>
      <c r="G58" s="23">
        <f t="shared" si="4"/>
        <v>356.22656237576973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3055.2711434832186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40.5</v>
      </c>
      <c r="C8" s="543">
        <f>B48</f>
        <v>47.647058823529413</v>
      </c>
      <c r="D8" s="544"/>
      <c r="E8" s="544">
        <f>E48</f>
        <v>0</v>
      </c>
      <c r="F8" s="545"/>
      <c r="G8" s="546"/>
      <c r="H8" s="544">
        <f>I48</f>
        <v>0</v>
      </c>
      <c r="I8" s="544">
        <f>G48+F48</f>
        <v>0</v>
      </c>
      <c r="J8" s="544">
        <f>H48+D48+C48</f>
        <v>0</v>
      </c>
      <c r="K8" s="544"/>
      <c r="L8" s="544"/>
      <c r="M8" s="544"/>
      <c r="N8" s="547"/>
      <c r="O8" s="548">
        <f>C8*$C$12+D8*$D$12+E8*$E$12+F8*$F$12+G8*$G$12+H8*$H$12+I8*$I$12+J8*$J$12</f>
        <v>9.6247058823529414</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3095.7711434832186</v>
      </c>
      <c r="C10" s="558">
        <f t="shared" ref="C10:L10" si="0">SUM(C8:C9)</f>
        <v>47.647058823529413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9.6247058823529414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57.857142857142861</v>
      </c>
      <c r="C17" s="574">
        <f>B49</f>
        <v>68.067226890756316</v>
      </c>
      <c r="D17" s="575"/>
      <c r="E17" s="575">
        <f>E49</f>
        <v>0</v>
      </c>
      <c r="F17" s="576"/>
      <c r="G17" s="577"/>
      <c r="H17" s="574">
        <f>I49</f>
        <v>0</v>
      </c>
      <c r="I17" s="575">
        <f>G49+F49</f>
        <v>0</v>
      </c>
      <c r="J17" s="575">
        <f>H49+D49+C49</f>
        <v>0</v>
      </c>
      <c r="K17" s="575"/>
      <c r="L17" s="575"/>
      <c r="M17" s="575"/>
      <c r="N17" s="966"/>
      <c r="O17" s="578">
        <f>C17*$C$22+E17*$E$22+H17*$H$22+I17*$I$22+J17*$J$22+D17*$D$22+F17*$F$22+G17*$G$22+K17*$K$22+L17*$L$22</f>
        <v>13.749579831932778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57.857142857142861</v>
      </c>
      <c r="C20" s="557">
        <f>SUM(C17:C19)</f>
        <v>68.067226890756316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13.749579831932778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23105</v>
      </c>
      <c r="C28" s="785">
        <v>1790</v>
      </c>
      <c r="D28" s="635" t="s">
        <v>906</v>
      </c>
      <c r="E28" s="634" t="s">
        <v>907</v>
      </c>
      <c r="F28" s="634" t="s">
        <v>908</v>
      </c>
      <c r="G28" s="634" t="s">
        <v>909</v>
      </c>
      <c r="H28" s="634" t="s">
        <v>910</v>
      </c>
      <c r="I28" s="634" t="s">
        <v>907</v>
      </c>
      <c r="J28" s="784">
        <v>40884</v>
      </c>
      <c r="K28" s="784">
        <v>40878</v>
      </c>
      <c r="L28" s="634" t="s">
        <v>911</v>
      </c>
      <c r="M28" s="634">
        <v>9</v>
      </c>
      <c r="N28" s="634">
        <v>40.5</v>
      </c>
      <c r="O28" s="634">
        <v>57.857142857142861</v>
      </c>
      <c r="P28" s="634">
        <v>115.71428571428572</v>
      </c>
      <c r="Q28" s="634">
        <v>0</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9</v>
      </c>
      <c r="N29" s="592">
        <f>SUM(N28:N28)</f>
        <v>40.5</v>
      </c>
      <c r="O29" s="592">
        <f>SUM(O28:O28)</f>
        <v>57.857142857142861</v>
      </c>
      <c r="P29" s="592">
        <f>SUM(P28:P28)</f>
        <v>115.71428571428572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9</v>
      </c>
      <c r="N31" s="592">
        <f ca="1">SUMIF($Z$28:AD28,"tertiair",N28:N28)</f>
        <v>40.5</v>
      </c>
      <c r="O31" s="592">
        <f ca="1">SUMIF($Z$28:AE28,"tertiair",O28:O28)</f>
        <v>57.857142857142861</v>
      </c>
      <c r="P31" s="592">
        <f ca="1">SUMIF($Z$28:AF28,"tertiair",P28:P28)</f>
        <v>115.71428571428572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47.647058823529413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68.067226890756316</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2021-06-29T14:43:03Z</dcterms:modified>
</cp:coreProperties>
</file>