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<sst xmlns="http://schemas.openxmlformats.org/spreadsheetml/2006/main" count="2484" uniqueCount="906">
  <si>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</si>
  <si>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</si>
  <si>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</si>
  <si>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</si>
  <si>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</si>
  <si>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</si>
  <si>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</si>
  <si>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</si>
  <si>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</si>
  <si>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</si>
  <si>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</si>
  <si>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</si>
  <si>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</si>
  <si>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</si>
  <si>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</si>
  <si>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</si>
  <si>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</si>
  <si>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</si>
  <si>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</si>
  <si>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</si>
  <si>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</si>
  <si>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</si>
  <si>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</si>
  <si>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</si>
  <si>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</si>
  <si>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</si>
  <si>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</si>
  <si>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</si>
  <si>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</si>
  <si>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</si>
  <si>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</si>
  <si>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</si>
  <si>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</si>
  <si>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</si>
  <si>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</si>
  <si>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</si>
  <si>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</si>
  <si>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</si>
  <si>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</si>
  <si>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</si>
  <si>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</si>
  <si>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</si>
  <si>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</si>
  <si>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</si>
  <si>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</si>
  <si>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</si>
  <si>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</si>
  <si>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</si>
  <si>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</si>
  <si>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</si>
  <si>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</si>
  <si>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</si>
  <si>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</si>
  <si>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</si>
  <si>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</si>
  <si>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</si>
  <si>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</si>
  <si>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</si>
  <si>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</si>
  <si>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</si>
  <si>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</si>
  <si>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</si>
  <si>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</si>
  <si>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</si>
  <si>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</si>
  <si>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</si>
  <si>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</si>
  <si>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</si>
  <si>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</si>
  <si>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</si>
  <si>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</si>
  <si>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</si>
  <si>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</si>
  <si>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</si>
  <si>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</si>
  <si>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</si>
  <si>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</si>
  <si>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</si>
  <si>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</si>
  <si>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</si>
  <si>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</si>
  <si>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</si>
  <si>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</si>
  <si>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</si>
  <si>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</si>
  <si>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</si>
  <si>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</si>
  <si>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</si>
  <si>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</si>
  <si>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</si>
  <si>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</si>
  <si>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</si>
  <si>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</si>
  <si>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</si>
  <si>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</si>
  <si>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</si>
  <si>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</si>
  <si>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</si>
  <si>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</si>
  <si>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</si>
  <si>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</si>
  <si>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</si>
  <si>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</si>
  <si>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</si>
  <si>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</si>
  <si>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</si>
  <si>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</si>
  <si>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</si>
  <si>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</si>
  <si>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</si>
  <si>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</si>
  <si>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</si>
  <si>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</si>
  <si>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</si>
  <si>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</si>
  <si>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</si>
  <si>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</si>
  <si>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</si>
  <si>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</si>
  <si>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</si>
  <si>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</si>
  <si>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</si>
  <si>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</si>
  <si>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</si>
  <si>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</si>
  <si>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</si>
  <si>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</si>
  <si>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</si>
  <si>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</si>
  <si>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</si>
  <si>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</si>
  <si>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</si>
  <si>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</si>
  <si>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</si>
  <si>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</si>
  <si>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</si>
  <si>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</si>
  <si>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</si>
  <si>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</si>
  <si>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</si>
  <si>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</si>
  <si>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</si>
  <si>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</si>
  <si>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</si>
  <si>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</si>
  <si>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</si>
  <si>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</si>
  <si>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</si>
  <si>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</si>
  <si>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</si>
  <si>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</si>
  <si>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</si>
  <si>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</si>
  <si>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</si>
  <si>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</si>
  <si>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</si>
  <si>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</si>
  <si>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</si>
  <si>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</si>
  <si>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</si>
  <si>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</si>
  <si>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</si>
  <si>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</si>
  <si>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</si>
  <si>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</si>
  <si>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</si>
  <si>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</si>
  <si>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</si>
  <si>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</si>
  <si>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</si>
  <si>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</si>
  <si>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</si>
  <si>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</si>
  <si>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</si>
  <si>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</si>
  <si>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</si>
  <si>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</si>
  <si>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</si>
  <si>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</si>
  <si>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</si>
  <si>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</si>
  <si>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</si>
  <si>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</si>
  <si>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</si>
  <si>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</si>
  <si>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</si>
  <si>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</si>
  <si>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</si>
  <si>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</si>
  <si>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</si>
  <si>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</si>
  <si>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</si>
  <si>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</si>
  <si>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</si>
  <si>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</si>
  <si>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</si>
  <si>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</si>
  <si>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</si>
  <si>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</si>
  <si>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</si>
  <si>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</si>
  <si>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</si>
  <si>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</si>
  <si>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</si>
  <si>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</si>
  <si>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</si>
  <si>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</si>
  <si>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</si>
  <si>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</si>
  <si>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</si>
  <si>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</si>
  <si>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</si>
  <si>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</si>
  <si>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</si>
  <si>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</si>
  <si>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</si>
  <si>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</si>
  <si>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</si>
  <si>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</si>
  <si>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</si>
  <si>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</si>
  <si>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</si>
  <si>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</si>
  <si>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</si>
  <si>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</si>
  <si>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</si>
  <si>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</si>
  <si>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</si>
  <si>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</si>
  <si>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</si>
  <si>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</si>
  <si>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</si>
  <si>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</si>
  <si>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</si>
  <si>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</si>
  <si>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</si>
  <si>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</si>
  <si>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</si>
  <si>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</si>
  <si>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</si>
  <si>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</si>
  <si>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</si>
  <si>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</si>
  <si>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</si>
  <si>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</si>
  <si>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</si>
  <si>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</si>
  <si>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</si>
  <si>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</si>
  <si>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</si>
  <si>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</si>
  <si>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</si>
  <si>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</si>
  <si>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</si>
  <si>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</si>
  <si>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</si>
  <si>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</si>
  <si>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</si>
  <si>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</si>
  <si>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</si>
  <si>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</si>
  <si>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</si>
  <si>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</si>
  <si>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</si>
  <si>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</si>
  <si>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</si>
  <si>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</si>
  <si>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</si>
  <si>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</si>
  <si>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</si>
  <si>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</si>
  <si>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</si>
  <si>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</si>
  <si>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</si>
  <si>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</si>
  <si>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</si>
  <si>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</si>
  <si>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</si>
  <si>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</si>
  <si>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</si>
  <si>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</si>
  <si>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</si>
  <si>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</si>
  <si>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</si>
  <si>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</si>
  <si>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</si>
  <si>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</si>
  <si>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</si>
  <si>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</si>
  <si>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</si>
  <si>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</si>
  <si>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</si>
  <si>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</si>
  <si>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</si>
  <si>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</si>
  <si>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</si>
  <si>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</si>
  <si>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</si>
  <si>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</si>
  <si>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</si>
  <si>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</si>
  <si>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</si>
  <si>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</si>
  <si>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</si>
  <si>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</si>
  <si>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</si>
  <si>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</si>
  <si>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</si>
  <si>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</si>
  <si>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</si>
  <si>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</si>
  <si>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</si>
  <si>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</si>
  <si>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</si>
  <si>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</si>
  <si>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</si>
  <si>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</si>
  <si>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</si>
  <si>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</si>
  <si>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</si>
  <si>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</si>
  <si>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</si>
  <si>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</si>
  <si>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</si>
  <si>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</si>
  <si>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</si>
  <si>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</si>
  <si>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</si>
  <si>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</si>
  <si>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</si>
  <si>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</si>
  <si>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</si>
  <si>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</si>
  <si>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</si>
  <si>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</si>
  <si>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</si>
  <si>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</si>
  <si>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</si>
  <si>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</si>
  <si>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</si>
  <si>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</si>
  <si>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</si>
  <si>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</si>
  <si>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</si>
  <si>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</si>
  <si>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</si>
  <si>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</si>
  <si>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</si>
  <si>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</si>
  <si>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</si>
  <si>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</si>
  <si>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</si>
  <si>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</si>
  <si>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</si>
  <si>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</si>
  <si>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</si>
  <si>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</si>
  <si>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</si>
  <si>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</si>
  <si>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</si>
  <si>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</si>
  <si>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</si>
  <si>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</si>
  <si>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</si>
  <si>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</si>
  <si>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</si>
  <si>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</si>
  <si>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</si>
  <si>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</si>
  <si>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</si>
  <si>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</si>
  <si>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</si>
  <si>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</si>
  <si>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</si>
  <si>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</si>
  <si>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</si>
  <si>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</si>
  <si>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</si>
  <si>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</si>
  <si>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</si>
  <si>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</si>
  <si>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</si>
  <si>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</si>
  <si>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</si>
  <si>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</si>
  <si>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</si>
  <si>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</si>
  <si>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</si>
  <si>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</si>
  <si>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</si>
  <si>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</si>
  <si>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</si>
  <si>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</si>
  <si>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</si>
  <si>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</si>
  <si>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</si>
  <si>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</si>
  <si>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</si>
  <si>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</si>
  <si>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</si>
  <si>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</si>
  <si>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</si>
  <si>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</si>
  <si>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</si>
  <si>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</si>
  <si>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</si>
  <si>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</si>
  <si>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</si>
  <si>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</si>
  <si>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</si>
  <si>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</si>
  <si>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</si>
  <si>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</si>
  <si>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</si>
  <si>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</si>
  <si>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</si>
  <si>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</si>
  <si>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</si>
  <si>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</si>
  <si>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</si>
  <si>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</si>
  <si>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</si>
  <si>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</si>
  <si>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</si>
  <si>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</si>
  <si>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</si>
  <si>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</si>
  <si>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</si>
  <si>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</si>
  <si>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</si>
  <si>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</si>
  <si>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</si>
  <si>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</si>
  <si>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</si>
  <si>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</si>
  <si>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</si>
  <si>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</si>
  <si>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</si>
  <si>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</si>
  <si>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</si>
  <si>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</si>
  <si>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</si>
  <si>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</si>
  <si>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</si>
  <si>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</si>
  <si>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</si>
  <si>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</si>
  <si>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</si>
  <si>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</si>
  <si>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</si>
  <si>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</si>
  <si>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</si>
  <si>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</si>
  <si>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</si>
  <si>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</si>
  <si>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</si>
  <si>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</si>
  <si>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</si>
  <si>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</si>
  <si>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</si>
  <si>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</si>
  <si>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</si>
  <si>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</si>
  <si>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</si>
  <si>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</si>
  <si>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</si>
  <si>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</si>
  <si>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</si>
  <si>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</si>
  <si>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</si>
  <si>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</si>
  <si>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</si>
  <si>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</si>
  <si>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</si>
  <si>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</si>
  <si>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</si>
  <si>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</si>
  <si>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</si>
  <si>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</si>
  <si>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</si>
  <si>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</si>
  <si>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</si>
  <si>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</si>
  <si>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</si>
  <si>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</si>
  <si>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</si>
  <si>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</si>
  <si>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</si>
  <si>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</si>
  <si>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</si>
  <si>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</si>
  <si>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</si>
  <si>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</si>
  <si>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</si>
  <si>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</si>
  <si>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</si>
  <si>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</si>
  <si>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</si>
  <si>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</si>
  <si>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</si>
  <si>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</si>
  <si>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</si>
  <si>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</si>
  <si>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</si>
  <si>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</si>
  <si>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</si>
  <si>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</si>
  <si>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</si>
  <si>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</si>
  <si>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</si>
  <si>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</si>
  <si>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</si>
  <si>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</si>
  <si>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</si>
  <si>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</si>
  <si>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</si>
  <si>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</si>
  <si>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</si>
  <si>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</si>
  <si>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</si>
  <si>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</si>
  <si>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</si>
  <si>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</si>
  <si>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</si>
  <si>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</si>
  <si>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</si>
  <si>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</si>
  <si>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</si>
  <si>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</si>
  <si>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</si>
  <si>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</si>
  <si>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</si>
  <si>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</si>
  <si>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</si>
  <si>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</si>
  <si>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</si>
  <si>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</si>
  <si>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</si>
  <si>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</si>
  <si>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</si>
  <si>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</si>
  <si>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</si>
  <si>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</si>
  <si>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</si>
  <si>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</si>
  <si>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</si>
  <si>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</si>
  <si>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</si>
  <si>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</si>
  <si>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</si>
  <si>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</si>
  <si>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</si>
  <si>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</si>
  <si>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</si>
  <si>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</si>
  <si>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</si>
  <si>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</si>
  <si>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</si>
  <si>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</si>
  <si>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</si>
  <si>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</si>
  <si>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</si>
  <si>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</si>
  <si>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</si>
  <si>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</si>
  <si>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</si>
  <si>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</si>
  <si>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</si>
  <si>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</si>
  <si>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</si>
  <si>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</si>
  <si>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</si>
  <si>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</si>
  <si>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</si>
  <si>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</si>
  <si>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</si>
  <si>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</si>
  <si>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</si>
  <si>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</si>
  <si>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</si>
  <si>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</si>
  <si>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</si>
  <si>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</si>
  <si>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</si>
  <si>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</si>
  <si>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</si>
  <si>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</si>
  <si>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</si>
  <si>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</si>
  <si>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</si>
  <si>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</si>
  <si>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</si>
  <si>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</si>
  <si>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</si>
  <si>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</si>
  <si>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</si>
  <si>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</si>
  <si>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</si>
  <si>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</si>
  <si>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</si>
  <si>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</si>
  <si>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</si>
  <si>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</si>
  <si>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</si>
  <si>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</si>
  <si>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</si>
  <si>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</si>
  <si>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</si>
  <si>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</si>
  <si>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</si>
  <si>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</si>
  <si>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</si>
  <si>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</si>
  <si>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</si>
  <si>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</si>
  <si>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</si>
  <si>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</si>
  <si>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</si>
  <si>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</si>
  <si>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</si>
  <si>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</si>
  <si>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</si>
  <si>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</si>
  <si>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</si>
  <si>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</si>
  <si>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</si>
  <si>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</si>
  <si>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</si>
  <si>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</si>
  <si>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</si>
  <si>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</si>
  <si>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</si>
  <si>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</si>
  <si>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</si>
  <si>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</si>
  <si>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</si>
  <si>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</si>
  <si>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</si>
  <si>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</si>
  <si>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</si>
  <si>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</si>
  <si>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</si>
  <si>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</si>
  <si>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</si>
  <si>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</si>
  <si>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</si>
  <si>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</si>
  <si>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</si>
  <si>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</si>
  <si>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</si>
  <si>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</si>
  <si>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</si>
  <si>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</si>
  <si>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</si>
  <si>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</si>
  <si>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</si>
  <si>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</si>
  <si>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</si>
  <si>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</si>
  <si>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</si>
  <si>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</si>
  <si>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</si>
  <si>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</si>
  <si>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</si>
  <si>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</si>
  <si>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</si>
  <si>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</si>
  <si>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</si>
  <si>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</si>
  <si>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</si>
  <si>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</si>
  <si>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</si>
  <si>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</si>
  <si>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</si>
  <si>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</si>
  <si>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</si>
  <si>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</si>
  <si>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</si>
  <si>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</si>
  <si>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</si>
  <si>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</si>
  <si>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</si>
  <si>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</si>
  <si>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</si>
  <si>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</si>
  <si>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</si>
  <si>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</si>
  <si>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</si>
  <si>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</si>
  <si>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</si>
  <si>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</si>
  <si>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</si>
  <si>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</si>
  <si>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</si>
  <si>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</si>
  <si>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</si>
  <si>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</si>
  <si>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</si>
  <si>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</si>
  <si>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</si>
  <si>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</si>
  <si>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</si>
  <si>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</si>
  <si>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</si>
  <si>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</si>
  <si>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</si>
  <si>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</si>
  <si>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</si>
  <si>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</si>
  <si>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</si>
  <si>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</si>
  <si>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</si>
  <si>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</si>
  <si>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</si>
  <si>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</si>
  <si>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</si>
  <si>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</si>
  <si>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</si>
  <si>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</si>
  <si>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</si>
  <si>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</si>
  <si>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</si>
  <si>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</si>
  <si>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</si>
  <si>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</si>
  <si>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</si>
  <si>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</si>
  <si>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</si>
  <si>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</si>
  <si>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</si>
  <si>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</si>
  <si>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</si>
  <si>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</si>
  <si>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</si>
  <si>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</si>
  <si>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</si>
  <si>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</si>
  <si>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</si>
  <si>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</si>
  <si>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</si>
  <si>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</si>
  <si>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</si>
  <si>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</si>
  <si>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</si>
  <si>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</si>
  <si>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</si>
  <si>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</si>
  <si>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</si>
  <si>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</si>
  <si>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</si>
  <si>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</si>
  <si>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</si>
  <si>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</si>
  <si>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</si>
  <si>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</si>
  <si>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</si>
  <si>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</si>
  <si>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</si>
  <si>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</si>
  <si>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</si>
  <si>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</si>
  <si>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</si>
  <si>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</si>
  <si>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</si>
  <si>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</si>
  <si>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</si>
  <si>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</si>
  <si>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</si>
  <si>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</si>
  <si>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</si>
  <si>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</si>
  <si>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</si>
  <si>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</si>
  <si>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</si>
  <si>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</si>
  <si>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</si>
  <si>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</si>
  <si>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</si>
  <si>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</si>
  <si>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</si>
  <si>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</si>
  <si>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</si>
  <si>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</si>
  <si>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</si>
  <si>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</si>
  <si>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</si>
  <si>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</si>
  <si>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</si>
  <si>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</si>
  <si>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</si>
  <si>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</si>
  <si>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</si>
  <si>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</si>
  <si>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</si>
  <si>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</si>
  <si>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</si>
  <si>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</si>
  <si>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</si>
  <si>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</si>
  <si>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</si>
  <si>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</si>
  <si>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</si>
  <si>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</si>
  <si>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</si>
  <si>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</si>
  <si>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</si>
  <si>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</si>
  <si>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</si>
  <si>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</si>
  <si>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</si>
  <si>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</si>
  <si>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</si>
  <si>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</si>
  <si>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</si>
  <si>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</si>
  <si>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</si>
  <si>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</si>
  <si>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</si>
  <si>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</si>
  <si>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</si>
  <si>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</si>
  <si>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</si>
  <si>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</si>
  <si>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</si>
  <si>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</si>
  <si>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</si>
  <si>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</si>
  <si>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</si>
  <si>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</si>
  <si>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</si>
  <si>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</si>
  <si>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</si>
  <si>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</si>
  <si>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</si>
  <si>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</si>
  <si>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</si>
  <si>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</si>
  <si>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</si>
  <si>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</si>
  <si>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</si>
  <si>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</si>
  <si>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</si>
  <si>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</si>
  <si>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</si>
  <si>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</si>
  <si>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</si>
  <si>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</si>
  <si>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</si>
  <si>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</si>
  <si>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</si>
  <si>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</si>
  <si>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</si>
  <si>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</si>
  <si>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</si>
  <si>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</si>
  <si>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</si>
  <si>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</si>
  <si>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</si>
  <si>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</si>
  <si>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</si>
  <si>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</si>
  <si>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</si>
  <si>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</si>
  <si>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</si>
  <si>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</si>
  <si>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</si>
  <si>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</si>
  <si>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</si>
  <si>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</si>
  <si>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</si>
  <si>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</si>
  <si>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</si>
  <si>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</si>
  <si>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</si>
  <si>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</si>
  <si>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</si>
  <si>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</si>
  <si>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</si>
  <si>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</si>
  <si>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</si>
  <si>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</si>
  <si>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</si>
  <si>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</si>
  <si>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</si>
  <si>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</si>
  <si>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</si>
  <si>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</si>
  <si>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</si>
  <si>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</si>
  <si>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</si>
  <si>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</si>
  <si>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</si>
  <si>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</si>
  <si>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</si>
  <si>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</si>
  <si>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</si>
  <si>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</si>
  <si>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</si>
  <si>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</si>
  <si>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</si>
  <si>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</si>
  <si>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</si>
  <si>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</si>
  <si>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23062</t>
  </si>
  <si>
    <t>OVERIJSE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</si>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</sst>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243813.94076093627</c:v>
                </c:pt>
                <c:pt idx="1">
                  <c:v>75065.59078111159</c:v>
                </c:pt>
                <c:pt idx="2">
                  <c:v>1130.135</c:v>
                </c:pt>
                <c:pt idx="3">
                  <c:v>3755.1568193806424</c:v>
                </c:pt>
                <c:pt idx="4">
                  <c:v>6702.1515011636739</c:v>
                </c:pt>
                <c:pt idx="5">
                  <c:v>294527.11377925344</c:v>
                </c:pt>
                <c:pt idx="6">
                  <c:v>4142.7439556746267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243813.94076093627</c:v>
                </c:pt>
                <c:pt idx="1">
                  <c:v>75065.59078111159</c:v>
                </c:pt>
                <c:pt idx="2">
                  <c:v>1130.135</c:v>
                </c:pt>
                <c:pt idx="3">
                  <c:v>3755.1568193806424</c:v>
                </c:pt>
                <c:pt idx="4">
                  <c:v>6702.1515011636739</c:v>
                </c:pt>
                <c:pt idx="5">
                  <c:v>294527.11377925344</c:v>
                </c:pt>
                <c:pt idx="6">
                  <c:v>4142.7439556746267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50255.364170256515</c:v>
                </c:pt>
                <c:pt idx="1">
                  <c:v>15129.982950648464</c:v>
                </c:pt>
                <c:pt idx="2">
                  <c:v>237.83068220472242</c:v>
                </c:pt>
                <c:pt idx="3">
                  <c:v>897.02618229139784</c:v>
                </c:pt>
                <c:pt idx="4">
                  <c:v>1433.8911575860827</c:v>
                </c:pt>
                <c:pt idx="5">
                  <c:v>73190.224086204078</c:v>
                </c:pt>
                <c:pt idx="6">
                  <c:v>1044.639378276991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50255.364170256515</c:v>
                </c:pt>
                <c:pt idx="1">
                  <c:v>15129.982950648464</c:v>
                </c:pt>
                <c:pt idx="2">
                  <c:v>237.83068220472242</c:v>
                </c:pt>
                <c:pt idx="3">
                  <c:v>897.02618229139784</c:v>
                </c:pt>
                <c:pt idx="4">
                  <c:v>1433.8911575860827</c:v>
                </c:pt>
                <c:pt idx="5">
                  <c:v>73190.224086204078</c:v>
                </c:pt>
                <c:pt idx="6">
                  <c:v>1044.639378276991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23062</v>
      </c>
      <c r="B6" s="386"/>
      <c r="C6" s="387"/>
    </row>
    <row r="7" spans="1:7" s="384" customFormat="1" ht="15.75" customHeight="1">
      <c r="A7" s="388" t="str">
        <f>txtMunicipality</f>
        <v>OVERIJSE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29666.111313999998</v>
      </c>
      <c r="D10" s="681">
        <f ca="1">tertiair!C16</f>
        <v>0</v>
      </c>
      <c r="E10" s="681">
        <f ca="1">tertiair!D16</f>
        <v>40388.958796164006</v>
      </c>
      <c r="F10" s="681">
        <f>tertiair!E16</f>
        <v>377.12003234268639</v>
      </c>
      <c r="G10" s="681">
        <f ca="1">tertiair!F16</f>
        <v>3297.9266501793991</v>
      </c>
      <c r="H10" s="681">
        <f>tertiair!G16</f>
        <v>0</v>
      </c>
      <c r="I10" s="681">
        <f>tertiair!H16</f>
        <v>0</v>
      </c>
      <c r="J10" s="681">
        <f>tertiair!I16</f>
        <v>0</v>
      </c>
      <c r="K10" s="681">
        <f>tertiair!J16</f>
        <v>6.1205488620941995E-2</v>
      </c>
      <c r="L10" s="681">
        <f>tertiair!K16</f>
        <v>0</v>
      </c>
      <c r="M10" s="681">
        <f ca="1">tertiair!L16</f>
        <v>0</v>
      </c>
      <c r="N10" s="681">
        <f>tertiair!M16</f>
        <v>0</v>
      </c>
      <c r="O10" s="681">
        <f ca="1">tertiair!N16</f>
        <v>2408.1113838645433</v>
      </c>
      <c r="P10" s="681">
        <f>tertiair!O16</f>
        <v>4.8972607658411542</v>
      </c>
      <c r="Q10" s="682">
        <f>tertiair!P16</f>
        <v>52.539138306495019</v>
      </c>
      <c r="R10" s="684">
        <f ca="1">SUM(C10:Q10)</f>
        <v>76195.725781111585</v>
      </c>
      <c r="S10" s="67"/>
    </row>
    <row r="11" spans="1:19" s="444" customFormat="1">
      <c r="A11" s="802" t="s">
        <v>219</v>
      </c>
      <c r="B11" s="807"/>
      <c r="C11" s="681">
        <f>huishoudens!B8</f>
        <v>43235.436270784339</v>
      </c>
      <c r="D11" s="681">
        <f>huishoudens!C8</f>
        <v>0</v>
      </c>
      <c r="E11" s="681">
        <f>huishoudens!D8</f>
        <v>129272.70208096203</v>
      </c>
      <c r="F11" s="681">
        <f>huishoudens!E8</f>
        <v>3303.2444739880034</v>
      </c>
      <c r="G11" s="681">
        <f>huishoudens!F8</f>
        <v>53252.703505846614</v>
      </c>
      <c r="H11" s="681">
        <f>huishoudens!G8</f>
        <v>0</v>
      </c>
      <c r="I11" s="681">
        <f>huishoudens!H8</f>
        <v>0</v>
      </c>
      <c r="J11" s="681">
        <f>huishoudens!I8</f>
        <v>0</v>
      </c>
      <c r="K11" s="681">
        <f>huishoudens!J8</f>
        <v>212.74220269230022</v>
      </c>
      <c r="L11" s="681">
        <f>huishoudens!K8</f>
        <v>0</v>
      </c>
      <c r="M11" s="681">
        <f>huishoudens!L8</f>
        <v>0</v>
      </c>
      <c r="N11" s="681">
        <f>huishoudens!M8</f>
        <v>0</v>
      </c>
      <c r="O11" s="681">
        <f>huishoudens!N8</f>
        <v>13542.058667916244</v>
      </c>
      <c r="P11" s="681">
        <f>huishoudens!O8</f>
        <v>499.95747128553205</v>
      </c>
      <c r="Q11" s="682">
        <f>huishoudens!P8</f>
        <v>495.09608746119602</v>
      </c>
      <c r="R11" s="684">
        <f>SUM(C11:Q11)</f>
        <v>243813.94076093627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2537.3478610000002</v>
      </c>
      <c r="D13" s="681">
        <f>industrie!C18</f>
        <v>0</v>
      </c>
      <c r="E13" s="681">
        <f>industrie!D18</f>
        <v>2580.6480154840001</v>
      </c>
      <c r="F13" s="681">
        <f>industrie!E18</f>
        <v>341.05770842258073</v>
      </c>
      <c r="G13" s="681">
        <f>industrie!F18</f>
        <v>1068.3803818012345</v>
      </c>
      <c r="H13" s="681">
        <f>industrie!G18</f>
        <v>0</v>
      </c>
      <c r="I13" s="681">
        <f>industrie!H18</f>
        <v>0</v>
      </c>
      <c r="J13" s="681">
        <f>industrie!I18</f>
        <v>0</v>
      </c>
      <c r="K13" s="681">
        <f>industrie!J18</f>
        <v>45.061365863522326</v>
      </c>
      <c r="L13" s="681">
        <f>industrie!K18</f>
        <v>0</v>
      </c>
      <c r="M13" s="681">
        <f>industrie!L18</f>
        <v>0</v>
      </c>
      <c r="N13" s="681">
        <f>industrie!M18</f>
        <v>0</v>
      </c>
      <c r="O13" s="681">
        <f>industrie!N18</f>
        <v>129.65616859233603</v>
      </c>
      <c r="P13" s="681">
        <f>industrie!O18</f>
        <v>0</v>
      </c>
      <c r="Q13" s="682">
        <f>industrie!P18</f>
        <v>0</v>
      </c>
      <c r="R13" s="684">
        <f>SUM(C13:Q13)</f>
        <v>6702.1515011636739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75438.895445784336</v>
      </c>
      <c r="D16" s="717">
        <f t="shared" ref="D16:R16" ca="1" si="0">SUM(D9:D15)</f>
        <v>0</v>
      </c>
      <c r="E16" s="717">
        <f t="shared" ca="1" si="0"/>
        <v>172242.30889261005</v>
      </c>
      <c r="F16" s="717">
        <f t="shared" si="0"/>
        <v>4021.4222147532705</v>
      </c>
      <c r="G16" s="717">
        <f t="shared" ca="1" si="0"/>
        <v>57619.010537827242</v>
      </c>
      <c r="H16" s="717">
        <f t="shared" si="0"/>
        <v>0</v>
      </c>
      <c r="I16" s="717">
        <f t="shared" si="0"/>
        <v>0</v>
      </c>
      <c r="J16" s="717">
        <f t="shared" si="0"/>
        <v>0</v>
      </c>
      <c r="K16" s="717">
        <f t="shared" si="0"/>
        <v>257.86477404444349</v>
      </c>
      <c r="L16" s="717">
        <f t="shared" si="0"/>
        <v>0</v>
      </c>
      <c r="M16" s="717">
        <f t="shared" ca="1" si="0"/>
        <v>0</v>
      </c>
      <c r="N16" s="717">
        <f t="shared" si="0"/>
        <v>0</v>
      </c>
      <c r="O16" s="717">
        <f t="shared" ca="1" si="0"/>
        <v>16079.826220373123</v>
      </c>
      <c r="P16" s="717">
        <f t="shared" si="0"/>
        <v>504.85473205137322</v>
      </c>
      <c r="Q16" s="717">
        <f t="shared" si="0"/>
        <v>547.63522576769105</v>
      </c>
      <c r="R16" s="717">
        <f t="shared" ca="1" si="0"/>
        <v>326711.81804321153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53.420585967276644</v>
      </c>
      <c r="D19" s="681">
        <f>transport!C54</f>
        <v>0</v>
      </c>
      <c r="E19" s="681">
        <f>transport!D54</f>
        <v>0</v>
      </c>
      <c r="F19" s="681">
        <f>transport!E54</f>
        <v>0</v>
      </c>
      <c r="G19" s="681">
        <f>transport!F54</f>
        <v>0</v>
      </c>
      <c r="H19" s="681">
        <f>transport!G54</f>
        <v>3870.4019115302531</v>
      </c>
      <c r="I19" s="681">
        <f>transport!H54</f>
        <v>0</v>
      </c>
      <c r="J19" s="681">
        <f>transport!I54</f>
        <v>0</v>
      </c>
      <c r="K19" s="681">
        <f>transport!J54</f>
        <v>0</v>
      </c>
      <c r="L19" s="681">
        <f>transport!K54</f>
        <v>0</v>
      </c>
      <c r="M19" s="681">
        <f>transport!L54</f>
        <v>0</v>
      </c>
      <c r="N19" s="681">
        <f>transport!M54</f>
        <v>218.92145817709712</v>
      </c>
      <c r="O19" s="681">
        <f>transport!N54</f>
        <v>0</v>
      </c>
      <c r="P19" s="681">
        <f>transport!O54</f>
        <v>0</v>
      </c>
      <c r="Q19" s="682">
        <f>transport!P54</f>
        <v>0</v>
      </c>
      <c r="R19" s="684">
        <f>SUM(C19:Q19)</f>
        <v>4142.7439556746267</v>
      </c>
      <c r="S19" s="67"/>
    </row>
    <row r="20" spans="1:19" s="444" customFormat="1">
      <c r="A20" s="802" t="s">
        <v>301</v>
      </c>
      <c r="B20" s="807"/>
      <c r="C20" s="681">
        <f>transport!B14</f>
        <v>386.45429229005271</v>
      </c>
      <c r="D20" s="681">
        <f>transport!C14</f>
        <v>0</v>
      </c>
      <c r="E20" s="681">
        <f>transport!D14</f>
        <v>598.97619814507163</v>
      </c>
      <c r="F20" s="681">
        <f>transport!E14</f>
        <v>583.89197708353788</v>
      </c>
      <c r="G20" s="681">
        <f>transport!F14</f>
        <v>0</v>
      </c>
      <c r="H20" s="681">
        <f>transport!G14</f>
        <v>221925.93144023689</v>
      </c>
      <c r="I20" s="681">
        <f>transport!H14</f>
        <v>54623.038332938486</v>
      </c>
      <c r="J20" s="681">
        <f>transport!I14</f>
        <v>0</v>
      </c>
      <c r="K20" s="681">
        <f>transport!J14</f>
        <v>0</v>
      </c>
      <c r="L20" s="681">
        <f>transport!K14</f>
        <v>0</v>
      </c>
      <c r="M20" s="681">
        <f>transport!L14</f>
        <v>0</v>
      </c>
      <c r="N20" s="681">
        <f>transport!M14</f>
        <v>16408.821538559419</v>
      </c>
      <c r="O20" s="681">
        <f>transport!N14</f>
        <v>0</v>
      </c>
      <c r="P20" s="681">
        <f>transport!O14</f>
        <v>0</v>
      </c>
      <c r="Q20" s="682">
        <f>transport!P14</f>
        <v>0</v>
      </c>
      <c r="R20" s="684">
        <f>SUM(C20:Q20)</f>
        <v>294527.11377925344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439.87487825732933</v>
      </c>
      <c r="D22" s="805">
        <f t="shared" ref="D22:R22" si="1">SUM(D18:D21)</f>
        <v>0</v>
      </c>
      <c r="E22" s="805">
        <f t="shared" si="1"/>
        <v>598.97619814507163</v>
      </c>
      <c r="F22" s="805">
        <f t="shared" si="1"/>
        <v>583.89197708353788</v>
      </c>
      <c r="G22" s="805">
        <f t="shared" si="1"/>
        <v>0</v>
      </c>
      <c r="H22" s="805">
        <f t="shared" si="1"/>
        <v>225796.33335176716</v>
      </c>
      <c r="I22" s="805">
        <f t="shared" si="1"/>
        <v>54623.038332938486</v>
      </c>
      <c r="J22" s="805">
        <f t="shared" si="1"/>
        <v>0</v>
      </c>
      <c r="K22" s="805">
        <f t="shared" si="1"/>
        <v>0</v>
      </c>
      <c r="L22" s="805">
        <f t="shared" si="1"/>
        <v>0</v>
      </c>
      <c r="M22" s="805">
        <f t="shared" si="1"/>
        <v>0</v>
      </c>
      <c r="N22" s="805">
        <f t="shared" si="1"/>
        <v>16627.742996736517</v>
      </c>
      <c r="O22" s="805">
        <f t="shared" si="1"/>
        <v>0</v>
      </c>
      <c r="P22" s="805">
        <f t="shared" si="1"/>
        <v>0</v>
      </c>
      <c r="Q22" s="805">
        <f t="shared" si="1"/>
        <v>0</v>
      </c>
      <c r="R22" s="805">
        <f t="shared" si="1"/>
        <v>298669.85773492808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493.14509399999997</v>
      </c>
      <c r="D24" s="681">
        <f>+landbouw!C8</f>
        <v>0</v>
      </c>
      <c r="E24" s="681">
        <f>+landbouw!D8</f>
        <v>1367.9265449520001</v>
      </c>
      <c r="F24" s="681">
        <f>+landbouw!E8</f>
        <v>15.390895764549986</v>
      </c>
      <c r="G24" s="681">
        <f>+landbouw!F8</f>
        <v>1742.829391335838</v>
      </c>
      <c r="H24" s="681">
        <f>+landbouw!G8</f>
        <v>0</v>
      </c>
      <c r="I24" s="681">
        <f>+landbouw!H8</f>
        <v>0</v>
      </c>
      <c r="J24" s="681">
        <f>+landbouw!I8</f>
        <v>0</v>
      </c>
      <c r="K24" s="681">
        <f>+landbouw!J8</f>
        <v>135.86489332825485</v>
      </c>
      <c r="L24" s="681">
        <f>+landbouw!K8</f>
        <v>0</v>
      </c>
      <c r="M24" s="681">
        <f>+landbouw!L8</f>
        <v>0</v>
      </c>
      <c r="N24" s="681">
        <f>+landbouw!M8</f>
        <v>0</v>
      </c>
      <c r="O24" s="681">
        <f>+landbouw!N8</f>
        <v>0</v>
      </c>
      <c r="P24" s="681">
        <f>+landbouw!O8</f>
        <v>0</v>
      </c>
      <c r="Q24" s="682">
        <f>+landbouw!P8</f>
        <v>0</v>
      </c>
      <c r="R24" s="684">
        <f>SUM(C24:Q24)</f>
        <v>3755.1568193806424</v>
      </c>
      <c r="S24" s="67"/>
    </row>
    <row r="25" spans="1:19" s="444" customFormat="1" ht="15" thickBot="1">
      <c r="A25" s="824" t="s">
        <v>714</v>
      </c>
      <c r="B25" s="943"/>
      <c r="C25" s="944">
        <f>IF(Onbekend_ele_kWh="---",0,Onbekend_ele_kWh)/1000+IF(REST_rest_ele_kWh="---",0,REST_rest_ele_kWh)/1000</f>
        <v>1489.5653609999999</v>
      </c>
      <c r="D25" s="944"/>
      <c r="E25" s="944">
        <f>IF(onbekend_gas_kWh="---",0,onbekend_gas_kWh)/1000+IF(REST_rest_gas_kWh="---",0,REST_rest_gas_kWh)/1000</f>
        <v>5001.0224510000007</v>
      </c>
      <c r="F25" s="944"/>
      <c r="G25" s="944"/>
      <c r="H25" s="944"/>
      <c r="I25" s="944"/>
      <c r="J25" s="944"/>
      <c r="K25" s="944"/>
      <c r="L25" s="944"/>
      <c r="M25" s="944"/>
      <c r="N25" s="944"/>
      <c r="O25" s="944"/>
      <c r="P25" s="944"/>
      <c r="Q25" s="945"/>
      <c r="R25" s="684">
        <f>SUM(C25:Q25)</f>
        <v>6490.5878120000007</v>
      </c>
      <c r="S25" s="67"/>
    </row>
    <row r="26" spans="1:19" s="444" customFormat="1" ht="15.75" thickBot="1">
      <c r="A26" s="689" t="s">
        <v>715</v>
      </c>
      <c r="B26" s="810"/>
      <c r="C26" s="805">
        <f>SUM(C24:C25)</f>
        <v>1982.7104549999999</v>
      </c>
      <c r="D26" s="805">
        <f t="shared" ref="D26:R26" si="2">SUM(D24:D25)</f>
        <v>0</v>
      </c>
      <c r="E26" s="805">
        <f t="shared" si="2"/>
        <v>6368.9489959520006</v>
      </c>
      <c r="F26" s="805">
        <f t="shared" si="2"/>
        <v>15.390895764549986</v>
      </c>
      <c r="G26" s="805">
        <f t="shared" si="2"/>
        <v>1742.829391335838</v>
      </c>
      <c r="H26" s="805">
        <f t="shared" si="2"/>
        <v>0</v>
      </c>
      <c r="I26" s="805">
        <f t="shared" si="2"/>
        <v>0</v>
      </c>
      <c r="J26" s="805">
        <f t="shared" si="2"/>
        <v>0</v>
      </c>
      <c r="K26" s="805">
        <f t="shared" si="2"/>
        <v>135.86489332825485</v>
      </c>
      <c r="L26" s="805">
        <f t="shared" si="2"/>
        <v>0</v>
      </c>
      <c r="M26" s="805">
        <f t="shared" si="2"/>
        <v>0</v>
      </c>
      <c r="N26" s="805">
        <f t="shared" si="2"/>
        <v>0</v>
      </c>
      <c r="O26" s="805">
        <f t="shared" si="2"/>
        <v>0</v>
      </c>
      <c r="P26" s="805">
        <f t="shared" si="2"/>
        <v>0</v>
      </c>
      <c r="Q26" s="805">
        <f t="shared" si="2"/>
        <v>0</v>
      </c>
      <c r="R26" s="805">
        <f t="shared" si="2"/>
        <v>10245.744631380643</v>
      </c>
      <c r="S26" s="67"/>
    </row>
    <row r="27" spans="1:19" s="444" customFormat="1" ht="17.25" thickTop="1" thickBot="1">
      <c r="A27" s="690" t="s">
        <v>115</v>
      </c>
      <c r="B27" s="797"/>
      <c r="C27" s="691">
        <f ca="1">C22+C16+C26</f>
        <v>77861.480779041653</v>
      </c>
      <c r="D27" s="691">
        <f t="shared" ref="D27:R27" ca="1" si="3">D22+D16+D26</f>
        <v>0</v>
      </c>
      <c r="E27" s="691">
        <f t="shared" ca="1" si="3"/>
        <v>179210.23408670712</v>
      </c>
      <c r="F27" s="691">
        <f t="shared" si="3"/>
        <v>4620.7050876013582</v>
      </c>
      <c r="G27" s="691">
        <f t="shared" ca="1" si="3"/>
        <v>59361.839929163078</v>
      </c>
      <c r="H27" s="691">
        <f t="shared" si="3"/>
        <v>225796.33335176716</v>
      </c>
      <c r="I27" s="691">
        <f t="shared" si="3"/>
        <v>54623.038332938486</v>
      </c>
      <c r="J27" s="691">
        <f t="shared" si="3"/>
        <v>0</v>
      </c>
      <c r="K27" s="691">
        <f t="shared" si="3"/>
        <v>393.72966737269837</v>
      </c>
      <c r="L27" s="691">
        <f t="shared" si="3"/>
        <v>0</v>
      </c>
      <c r="M27" s="691">
        <f t="shared" ca="1" si="3"/>
        <v>0</v>
      </c>
      <c r="N27" s="691">
        <f t="shared" si="3"/>
        <v>16627.742996736517</v>
      </c>
      <c r="O27" s="691">
        <f t="shared" ca="1" si="3"/>
        <v>16079.826220373123</v>
      </c>
      <c r="P27" s="691">
        <f t="shared" si="3"/>
        <v>504.85473205137322</v>
      </c>
      <c r="Q27" s="691">
        <f t="shared" si="3"/>
        <v>547.63522576769105</v>
      </c>
      <c r="R27" s="691">
        <f t="shared" ca="1" si="3"/>
        <v>635627.42040952027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6243.0696263453965</v>
      </c>
      <c r="D40" s="681">
        <f ca="1">tertiair!C20</f>
        <v>0</v>
      </c>
      <c r="E40" s="681">
        <f ca="1">tertiair!D20</f>
        <v>8158.56967682513</v>
      </c>
      <c r="F40" s="681">
        <f>tertiair!E20</f>
        <v>85.60624734178981</v>
      </c>
      <c r="G40" s="681">
        <f ca="1">tertiair!F20</f>
        <v>880.54641559789957</v>
      </c>
      <c r="H40" s="681">
        <f>tertiair!G20</f>
        <v>0</v>
      </c>
      <c r="I40" s="681">
        <f>tertiair!H20</f>
        <v>0</v>
      </c>
      <c r="J40" s="681">
        <f>tertiair!I20</f>
        <v>0</v>
      </c>
      <c r="K40" s="681">
        <f>tertiair!J20</f>
        <v>2.1666742971813466E-2</v>
      </c>
      <c r="L40" s="681">
        <f>tertiair!K20</f>
        <v>0</v>
      </c>
      <c r="M40" s="681">
        <f ca="1">tertiair!L20</f>
        <v>0</v>
      </c>
      <c r="N40" s="681">
        <f>tertiair!M20</f>
        <v>0</v>
      </c>
      <c r="O40" s="681">
        <f ca="1">tertiair!N20</f>
        <v>0</v>
      </c>
      <c r="P40" s="681">
        <f>tertiair!O20</f>
        <v>0</v>
      </c>
      <c r="Q40" s="764">
        <f>tertiair!P20</f>
        <v>0</v>
      </c>
      <c r="R40" s="843">
        <f t="shared" ca="1" si="4"/>
        <v>15367.813632853187</v>
      </c>
    </row>
    <row r="41" spans="1:18">
      <c r="A41" s="815" t="s">
        <v>219</v>
      </c>
      <c r="B41" s="822"/>
      <c r="C41" s="681">
        <f ca="1">huishoudens!B12</f>
        <v>9098.6592784927816</v>
      </c>
      <c r="D41" s="681">
        <f ca="1">huishoudens!C12</f>
        <v>0</v>
      </c>
      <c r="E41" s="681">
        <f>huishoudens!D12</f>
        <v>26113.085820354332</v>
      </c>
      <c r="F41" s="681">
        <f>huishoudens!E12</f>
        <v>749.8364955952768</v>
      </c>
      <c r="G41" s="681">
        <f>huishoudens!F12</f>
        <v>14218.471836061046</v>
      </c>
      <c r="H41" s="681">
        <f>huishoudens!G12</f>
        <v>0</v>
      </c>
      <c r="I41" s="681">
        <f>huishoudens!H12</f>
        <v>0</v>
      </c>
      <c r="J41" s="681">
        <f>huishoudens!I12</f>
        <v>0</v>
      </c>
      <c r="K41" s="681">
        <f>huishoudens!J12</f>
        <v>75.310739753074273</v>
      </c>
      <c r="L41" s="681">
        <f>huishoudens!K12</f>
        <v>0</v>
      </c>
      <c r="M41" s="681">
        <f>huishoudens!L12</f>
        <v>0</v>
      </c>
      <c r="N41" s="681">
        <f>huishoudens!M12</f>
        <v>0</v>
      </c>
      <c r="O41" s="681">
        <f>huishoudens!N12</f>
        <v>0</v>
      </c>
      <c r="P41" s="681">
        <f>huishoudens!O12</f>
        <v>0</v>
      </c>
      <c r="Q41" s="764">
        <f>huishoudens!P12</f>
        <v>0</v>
      </c>
      <c r="R41" s="843">
        <f t="shared" ca="1" si="4"/>
        <v>50255.364170256515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533.97087318977231</v>
      </c>
      <c r="D43" s="681">
        <f ca="1">industrie!C22</f>
        <v>0</v>
      </c>
      <c r="E43" s="681">
        <f>industrie!D22</f>
        <v>521.29089912776806</v>
      </c>
      <c r="F43" s="681">
        <f>industrie!E22</f>
        <v>77.420099811925823</v>
      </c>
      <c r="G43" s="681">
        <f>industrie!F22</f>
        <v>285.25756194092963</v>
      </c>
      <c r="H43" s="681">
        <f>industrie!G22</f>
        <v>0</v>
      </c>
      <c r="I43" s="681">
        <f>industrie!H22</f>
        <v>0</v>
      </c>
      <c r="J43" s="681">
        <f>industrie!I22</f>
        <v>0</v>
      </c>
      <c r="K43" s="681">
        <f>industrie!J22</f>
        <v>15.951723515686902</v>
      </c>
      <c r="L43" s="681">
        <f>industrie!K22</f>
        <v>0</v>
      </c>
      <c r="M43" s="681">
        <f>industrie!L22</f>
        <v>0</v>
      </c>
      <c r="N43" s="681">
        <f>industrie!M22</f>
        <v>0</v>
      </c>
      <c r="O43" s="681">
        <f>industrie!N22</f>
        <v>0</v>
      </c>
      <c r="P43" s="681">
        <f>industrie!O22</f>
        <v>0</v>
      </c>
      <c r="Q43" s="764">
        <f>industrie!P22</f>
        <v>0</v>
      </c>
      <c r="R43" s="842">
        <f t="shared" ca="1" si="4"/>
        <v>1433.8911575860827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15875.699778027951</v>
      </c>
      <c r="D46" s="717">
        <f t="shared" ref="D46:Q46" ca="1" si="5">SUM(D39:D45)</f>
        <v>0</v>
      </c>
      <c r="E46" s="717">
        <f t="shared" ca="1" si="5"/>
        <v>34792.946396307227</v>
      </c>
      <c r="F46" s="717">
        <f t="shared" si="5"/>
        <v>912.86284274899253</v>
      </c>
      <c r="G46" s="717">
        <f t="shared" ca="1" si="5"/>
        <v>15384.275813599874</v>
      </c>
      <c r="H46" s="717">
        <f t="shared" si="5"/>
        <v>0</v>
      </c>
      <c r="I46" s="717">
        <f t="shared" si="5"/>
        <v>0</v>
      </c>
      <c r="J46" s="717">
        <f t="shared" si="5"/>
        <v>0</v>
      </c>
      <c r="K46" s="717">
        <f t="shared" si="5"/>
        <v>91.284130011732998</v>
      </c>
      <c r="L46" s="717">
        <f t="shared" si="5"/>
        <v>0</v>
      </c>
      <c r="M46" s="717">
        <f t="shared" ca="1" si="5"/>
        <v>0</v>
      </c>
      <c r="N46" s="717">
        <f t="shared" si="5"/>
        <v>0</v>
      </c>
      <c r="O46" s="717">
        <f t="shared" ca="1" si="5"/>
        <v>0</v>
      </c>
      <c r="P46" s="717">
        <f t="shared" si="5"/>
        <v>0</v>
      </c>
      <c r="Q46" s="717">
        <f t="shared" si="5"/>
        <v>0</v>
      </c>
      <c r="R46" s="717">
        <f ca="1">SUM(R39:R45)</f>
        <v>67057.068960695789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11.242067898413399</v>
      </c>
      <c r="D49" s="681">
        <f ca="1">transport!C58</f>
        <v>0</v>
      </c>
      <c r="E49" s="681">
        <f>transport!D58</f>
        <v>0</v>
      </c>
      <c r="F49" s="681">
        <f>transport!E58</f>
        <v>0</v>
      </c>
      <c r="G49" s="681">
        <f>transport!F58</f>
        <v>0</v>
      </c>
      <c r="H49" s="681">
        <f>transport!G58</f>
        <v>1033.3973103785777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1044.639378276991</v>
      </c>
    </row>
    <row r="50" spans="1:18">
      <c r="A50" s="818" t="s">
        <v>301</v>
      </c>
      <c r="B50" s="828"/>
      <c r="C50" s="687">
        <f ca="1">transport!B18</f>
        <v>81.327175935871765</v>
      </c>
      <c r="D50" s="687">
        <f>transport!C18</f>
        <v>0</v>
      </c>
      <c r="E50" s="687">
        <f>transport!D18</f>
        <v>120.99319202530448</v>
      </c>
      <c r="F50" s="687">
        <f>transport!E18</f>
        <v>132.5434787979631</v>
      </c>
      <c r="G50" s="687">
        <f>transport!F18</f>
        <v>0</v>
      </c>
      <c r="H50" s="687">
        <f>transport!G18</f>
        <v>59254.223694543252</v>
      </c>
      <c r="I50" s="687">
        <f>transport!H18</f>
        <v>13601.136544901683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73190.224086204078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92.56924383428516</v>
      </c>
      <c r="D52" s="717">
        <f t="shared" ref="D52:Q52" ca="1" si="6">SUM(D48:D51)</f>
        <v>0</v>
      </c>
      <c r="E52" s="717">
        <f t="shared" si="6"/>
        <v>120.99319202530448</v>
      </c>
      <c r="F52" s="717">
        <f t="shared" si="6"/>
        <v>132.5434787979631</v>
      </c>
      <c r="G52" s="717">
        <f t="shared" si="6"/>
        <v>0</v>
      </c>
      <c r="H52" s="717">
        <f t="shared" si="6"/>
        <v>60287.621004921828</v>
      </c>
      <c r="I52" s="717">
        <f t="shared" si="6"/>
        <v>13601.136544901683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74234.863464481066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103.77966714766994</v>
      </c>
      <c r="D54" s="687">
        <f ca="1">+landbouw!C12</f>
        <v>0</v>
      </c>
      <c r="E54" s="687">
        <f>+landbouw!D12</f>
        <v>276.32116208030402</v>
      </c>
      <c r="F54" s="687">
        <f>+landbouw!E12</f>
        <v>3.4937333385528468</v>
      </c>
      <c r="G54" s="687">
        <f>+landbouw!F12</f>
        <v>465.33544748666878</v>
      </c>
      <c r="H54" s="687">
        <f>+landbouw!G12</f>
        <v>0</v>
      </c>
      <c r="I54" s="687">
        <f>+landbouw!H12</f>
        <v>0</v>
      </c>
      <c r="J54" s="687">
        <f>+landbouw!I12</f>
        <v>0</v>
      </c>
      <c r="K54" s="687">
        <f>+landbouw!J12</f>
        <v>48.096172238202215</v>
      </c>
      <c r="L54" s="687">
        <f>+landbouw!K12</f>
        <v>0</v>
      </c>
      <c r="M54" s="687">
        <f>+landbouw!L12</f>
        <v>0</v>
      </c>
      <c r="N54" s="687">
        <f>+landbouw!M12</f>
        <v>0</v>
      </c>
      <c r="O54" s="687">
        <f>+landbouw!N12</f>
        <v>0</v>
      </c>
      <c r="P54" s="687">
        <f>+landbouw!O12</f>
        <v>0</v>
      </c>
      <c r="Q54" s="688">
        <f>+landbouw!P12</f>
        <v>0</v>
      </c>
      <c r="R54" s="716">
        <f ca="1">SUM(C54:Q54)</f>
        <v>897.02618229139784</v>
      </c>
    </row>
    <row r="55" spans="1:18" ht="15" thickBot="1">
      <c r="A55" s="818" t="s">
        <v>714</v>
      </c>
      <c r="B55" s="828"/>
      <c r="C55" s="687">
        <f ca="1">C25*'EF ele_warmte'!B12</f>
        <v>313.47082073836634</v>
      </c>
      <c r="D55" s="687"/>
      <c r="E55" s="687">
        <f>E25*EF_CO2_aardgas</f>
        <v>1010.2065351020002</v>
      </c>
      <c r="F55" s="687"/>
      <c r="G55" s="687"/>
      <c r="H55" s="687"/>
      <c r="I55" s="687"/>
      <c r="J55" s="687"/>
      <c r="K55" s="687"/>
      <c r="L55" s="687"/>
      <c r="M55" s="687"/>
      <c r="N55" s="687"/>
      <c r="O55" s="687"/>
      <c r="P55" s="687"/>
      <c r="Q55" s="688"/>
      <c r="R55" s="716">
        <f ca="1">SUM(C55:Q55)</f>
        <v>1323.6773558403665</v>
      </c>
    </row>
    <row r="56" spans="1:18" ht="15.75" thickBot="1">
      <c r="A56" s="816" t="s">
        <v>715</v>
      </c>
      <c r="B56" s="829"/>
      <c r="C56" s="717">
        <f ca="1">SUM(C54:C55)</f>
        <v>417.2504878860363</v>
      </c>
      <c r="D56" s="717">
        <f t="shared" ref="D56:Q56" ca="1" si="7">SUM(D54:D55)</f>
        <v>0</v>
      </c>
      <c r="E56" s="717">
        <f t="shared" si="7"/>
        <v>1286.5276971823041</v>
      </c>
      <c r="F56" s="717">
        <f t="shared" si="7"/>
        <v>3.4937333385528468</v>
      </c>
      <c r="G56" s="717">
        <f t="shared" si="7"/>
        <v>465.33544748666878</v>
      </c>
      <c r="H56" s="717">
        <f t="shared" si="7"/>
        <v>0</v>
      </c>
      <c r="I56" s="717">
        <f t="shared" si="7"/>
        <v>0</v>
      </c>
      <c r="J56" s="717">
        <f t="shared" si="7"/>
        <v>0</v>
      </c>
      <c r="K56" s="717">
        <f t="shared" si="7"/>
        <v>48.096172238202215</v>
      </c>
      <c r="L56" s="717">
        <f t="shared" si="7"/>
        <v>0</v>
      </c>
      <c r="M56" s="717">
        <f t="shared" si="7"/>
        <v>0</v>
      </c>
      <c r="N56" s="717">
        <f t="shared" si="7"/>
        <v>0</v>
      </c>
      <c r="O56" s="717">
        <f t="shared" si="7"/>
        <v>0</v>
      </c>
      <c r="P56" s="717">
        <f t="shared" si="7"/>
        <v>0</v>
      </c>
      <c r="Q56" s="718">
        <f t="shared" si="7"/>
        <v>0</v>
      </c>
      <c r="R56" s="719">
        <f ca="1">SUM(R54:R55)</f>
        <v>2220.7035381317646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16385.519509748272</v>
      </c>
      <c r="D61" s="725">
        <f t="shared" ref="D61:Q61" ca="1" si="8">D46+D52+D56</f>
        <v>0</v>
      </c>
      <c r="E61" s="725">
        <f t="shared" ca="1" si="8"/>
        <v>36200.467285514838</v>
      </c>
      <c r="F61" s="725">
        <f t="shared" si="8"/>
        <v>1048.9000548855086</v>
      </c>
      <c r="G61" s="725">
        <f t="shared" ca="1" si="8"/>
        <v>15849.611261086542</v>
      </c>
      <c r="H61" s="725">
        <f t="shared" si="8"/>
        <v>60287.621004921828</v>
      </c>
      <c r="I61" s="725">
        <f t="shared" si="8"/>
        <v>13601.136544901683</v>
      </c>
      <c r="J61" s="725">
        <f t="shared" si="8"/>
        <v>0</v>
      </c>
      <c r="K61" s="725">
        <f t="shared" si="8"/>
        <v>139.3803022499352</v>
      </c>
      <c r="L61" s="725">
        <f t="shared" si="8"/>
        <v>0</v>
      </c>
      <c r="M61" s="725">
        <f t="shared" ca="1" si="8"/>
        <v>0</v>
      </c>
      <c r="N61" s="725">
        <f t="shared" si="8"/>
        <v>0</v>
      </c>
      <c r="O61" s="725">
        <f t="shared" ca="1" si="8"/>
        <v>0</v>
      </c>
      <c r="P61" s="725">
        <f t="shared" si="8"/>
        <v>0</v>
      </c>
      <c r="Q61" s="725">
        <f t="shared" si="8"/>
        <v>0</v>
      </c>
      <c r="R61" s="725">
        <f ca="1">R46+R52+R56</f>
        <v>143512.6359633086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0.21044448867146182</v>
      </c>
      <c r="D63" s="771">
        <f t="shared" ca="1" si="9"/>
        <v>0</v>
      </c>
      <c r="E63" s="969">
        <f t="shared" ca="1" si="9"/>
        <v>0.20200000000000001</v>
      </c>
      <c r="F63" s="771">
        <f t="shared" si="9"/>
        <v>0.22700000000000006</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19.108690261136712</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3699.7498727250113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3718.8585629861482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43235.436270784339</v>
      </c>
      <c r="C4" s="448">
        <f>huishoudens!C8</f>
        <v>0</v>
      </c>
      <c r="D4" s="448">
        <f>huishoudens!D8</f>
        <v>129272.70208096203</v>
      </c>
      <c r="E4" s="448">
        <f>huishoudens!E8</f>
        <v>3303.2444739880034</v>
      </c>
      <c r="F4" s="448">
        <f>huishoudens!F8</f>
        <v>53252.703505846614</v>
      </c>
      <c r="G4" s="448">
        <f>huishoudens!G8</f>
        <v>0</v>
      </c>
      <c r="H4" s="448">
        <f>huishoudens!H8</f>
        <v>0</v>
      </c>
      <c r="I4" s="448">
        <f>huishoudens!I8</f>
        <v>0</v>
      </c>
      <c r="J4" s="448">
        <f>huishoudens!J8</f>
        <v>212.74220269230022</v>
      </c>
      <c r="K4" s="448">
        <f>huishoudens!K8</f>
        <v>0</v>
      </c>
      <c r="L4" s="448">
        <f>huishoudens!L8</f>
        <v>0</v>
      </c>
      <c r="M4" s="448">
        <f>huishoudens!M8</f>
        <v>0</v>
      </c>
      <c r="N4" s="448">
        <f>huishoudens!N8</f>
        <v>13542.058667916244</v>
      </c>
      <c r="O4" s="448">
        <f>huishoudens!O8</f>
        <v>499.95747128553205</v>
      </c>
      <c r="P4" s="449">
        <f>huishoudens!P8</f>
        <v>495.09608746119602</v>
      </c>
      <c r="Q4" s="450">
        <f>SUM(B4:P4)</f>
        <v>243813.94076093627</v>
      </c>
    </row>
    <row r="5" spans="1:17">
      <c r="A5" s="447" t="s">
        <v>155</v>
      </c>
      <c r="B5" s="448">
        <f ca="1">tertiair!B16</f>
        <v>28535.976314</v>
      </c>
      <c r="C5" s="448">
        <f ca="1">tertiair!C16</f>
        <v>0</v>
      </c>
      <c r="D5" s="448">
        <f ca="1">tertiair!D16</f>
        <v>40388.958796164006</v>
      </c>
      <c r="E5" s="448">
        <f>tertiair!E16</f>
        <v>377.12003234268639</v>
      </c>
      <c r="F5" s="448">
        <f ca="1">tertiair!F16</f>
        <v>3297.9266501793991</v>
      </c>
      <c r="G5" s="448">
        <f>tertiair!G16</f>
        <v>0</v>
      </c>
      <c r="H5" s="448">
        <f>tertiair!H16</f>
        <v>0</v>
      </c>
      <c r="I5" s="448">
        <f>tertiair!I16</f>
        <v>0</v>
      </c>
      <c r="J5" s="448">
        <f>tertiair!J16</f>
        <v>6.1205488620941995E-2</v>
      </c>
      <c r="K5" s="448">
        <f>tertiair!K16</f>
        <v>0</v>
      </c>
      <c r="L5" s="448">
        <f ca="1">tertiair!L16</f>
        <v>0</v>
      </c>
      <c r="M5" s="448">
        <f>tertiair!M16</f>
        <v>0</v>
      </c>
      <c r="N5" s="448">
        <f ca="1">tertiair!N16</f>
        <v>2408.1113838645433</v>
      </c>
      <c r="O5" s="448">
        <f>tertiair!O16</f>
        <v>4.8972607658411542</v>
      </c>
      <c r="P5" s="449">
        <f>tertiair!P16</f>
        <v>52.539138306495019</v>
      </c>
      <c r="Q5" s="447">
        <f t="shared" ref="Q5:Q14" ca="1" si="0">SUM(B5:P5)</f>
        <v>75065.59078111159</v>
      </c>
    </row>
    <row r="6" spans="1:17">
      <c r="A6" s="447" t="s">
        <v>193</v>
      </c>
      <c r="B6" s="448">
        <f>'openbare verlichting'!B8</f>
        <v>1130.135</v>
      </c>
      <c r="C6" s="448"/>
      <c r="D6" s="448"/>
      <c r="E6" s="448"/>
      <c r="F6" s="448"/>
      <c r="G6" s="448"/>
      <c r="H6" s="448"/>
      <c r="I6" s="448"/>
      <c r="J6" s="448"/>
      <c r="K6" s="448"/>
      <c r="L6" s="448"/>
      <c r="M6" s="448"/>
      <c r="N6" s="448"/>
      <c r="O6" s="448"/>
      <c r="P6" s="449"/>
      <c r="Q6" s="447">
        <f t="shared" si="0"/>
        <v>1130.135</v>
      </c>
    </row>
    <row r="7" spans="1:17">
      <c r="A7" s="447" t="s">
        <v>111</v>
      </c>
      <c r="B7" s="448">
        <f>landbouw!B8</f>
        <v>493.14509399999997</v>
      </c>
      <c r="C7" s="448">
        <f>landbouw!C8</f>
        <v>0</v>
      </c>
      <c r="D7" s="448">
        <f>landbouw!D8</f>
        <v>1367.9265449520001</v>
      </c>
      <c r="E7" s="448">
        <f>landbouw!E8</f>
        <v>15.390895764549986</v>
      </c>
      <c r="F7" s="448">
        <f>landbouw!F8</f>
        <v>1742.829391335838</v>
      </c>
      <c r="G7" s="448">
        <f>landbouw!G8</f>
        <v>0</v>
      </c>
      <c r="H7" s="448">
        <f>landbouw!H8</f>
        <v>0</v>
      </c>
      <c r="I7" s="448">
        <f>landbouw!I8</f>
        <v>0</v>
      </c>
      <c r="J7" s="448">
        <f>landbouw!J8</f>
        <v>135.86489332825485</v>
      </c>
      <c r="K7" s="448">
        <f>landbouw!K8</f>
        <v>0</v>
      </c>
      <c r="L7" s="448">
        <f>landbouw!L8</f>
        <v>0</v>
      </c>
      <c r="M7" s="448">
        <f>landbouw!M8</f>
        <v>0</v>
      </c>
      <c r="N7" s="448">
        <f>landbouw!N8</f>
        <v>0</v>
      </c>
      <c r="O7" s="448">
        <f>landbouw!O8</f>
        <v>0</v>
      </c>
      <c r="P7" s="449">
        <f>landbouw!P8</f>
        <v>0</v>
      </c>
      <c r="Q7" s="447">
        <f t="shared" si="0"/>
        <v>3755.1568193806424</v>
      </c>
    </row>
    <row r="8" spans="1:17">
      <c r="A8" s="447" t="s">
        <v>618</v>
      </c>
      <c r="B8" s="448">
        <f>industrie!B18</f>
        <v>2537.3478610000002</v>
      </c>
      <c r="C8" s="448">
        <f>industrie!C18</f>
        <v>0</v>
      </c>
      <c r="D8" s="448">
        <f>industrie!D18</f>
        <v>2580.6480154840001</v>
      </c>
      <c r="E8" s="448">
        <f>industrie!E18</f>
        <v>341.05770842258073</v>
      </c>
      <c r="F8" s="448">
        <f>industrie!F18</f>
        <v>1068.3803818012345</v>
      </c>
      <c r="G8" s="448">
        <f>industrie!G18</f>
        <v>0</v>
      </c>
      <c r="H8" s="448">
        <f>industrie!H18</f>
        <v>0</v>
      </c>
      <c r="I8" s="448">
        <f>industrie!I18</f>
        <v>0</v>
      </c>
      <c r="J8" s="448">
        <f>industrie!J18</f>
        <v>45.061365863522326</v>
      </c>
      <c r="K8" s="448">
        <f>industrie!K18</f>
        <v>0</v>
      </c>
      <c r="L8" s="448">
        <f>industrie!L18</f>
        <v>0</v>
      </c>
      <c r="M8" s="448">
        <f>industrie!M18</f>
        <v>0</v>
      </c>
      <c r="N8" s="448">
        <f>industrie!N18</f>
        <v>129.65616859233603</v>
      </c>
      <c r="O8" s="448">
        <f>industrie!O18</f>
        <v>0</v>
      </c>
      <c r="P8" s="449">
        <f>industrie!P18</f>
        <v>0</v>
      </c>
      <c r="Q8" s="447">
        <f t="shared" si="0"/>
        <v>6702.1515011636739</v>
      </c>
    </row>
    <row r="9" spans="1:17" s="453" customFormat="1">
      <c r="A9" s="451" t="s">
        <v>544</v>
      </c>
      <c r="B9" s="452">
        <f>transport!B14</f>
        <v>386.45429229005271</v>
      </c>
      <c r="C9" s="452">
        <f>transport!C14</f>
        <v>0</v>
      </c>
      <c r="D9" s="452">
        <f>transport!D14</f>
        <v>598.97619814507163</v>
      </c>
      <c r="E9" s="452">
        <f>transport!E14</f>
        <v>583.89197708353788</v>
      </c>
      <c r="F9" s="452">
        <f>transport!F14</f>
        <v>0</v>
      </c>
      <c r="G9" s="452">
        <f>transport!G14</f>
        <v>221925.93144023689</v>
      </c>
      <c r="H9" s="452">
        <f>transport!H14</f>
        <v>54623.038332938486</v>
      </c>
      <c r="I9" s="452">
        <f>transport!I14</f>
        <v>0</v>
      </c>
      <c r="J9" s="452">
        <f>transport!J14</f>
        <v>0</v>
      </c>
      <c r="K9" s="452">
        <f>transport!K14</f>
        <v>0</v>
      </c>
      <c r="L9" s="452">
        <f>transport!L14</f>
        <v>0</v>
      </c>
      <c r="M9" s="452">
        <f>transport!M14</f>
        <v>16408.821538559419</v>
      </c>
      <c r="N9" s="452">
        <f>transport!N14</f>
        <v>0</v>
      </c>
      <c r="O9" s="452">
        <f>transport!O14</f>
        <v>0</v>
      </c>
      <c r="P9" s="452">
        <f>transport!P14</f>
        <v>0</v>
      </c>
      <c r="Q9" s="451">
        <f>SUM(B9:P9)</f>
        <v>294527.11377925344</v>
      </c>
    </row>
    <row r="10" spans="1:17">
      <c r="A10" s="447" t="s">
        <v>534</v>
      </c>
      <c r="B10" s="448">
        <f>transport!B54</f>
        <v>53.420585967276644</v>
      </c>
      <c r="C10" s="448">
        <f>transport!C54</f>
        <v>0</v>
      </c>
      <c r="D10" s="448">
        <f>transport!D54</f>
        <v>0</v>
      </c>
      <c r="E10" s="448">
        <f>transport!E54</f>
        <v>0</v>
      </c>
      <c r="F10" s="448">
        <f>transport!F54</f>
        <v>0</v>
      </c>
      <c r="G10" s="448">
        <f>transport!G54</f>
        <v>3870.4019115302531</v>
      </c>
      <c r="H10" s="448">
        <f>transport!H54</f>
        <v>0</v>
      </c>
      <c r="I10" s="448">
        <f>transport!I54</f>
        <v>0</v>
      </c>
      <c r="J10" s="448">
        <f>transport!J54</f>
        <v>0</v>
      </c>
      <c r="K10" s="448">
        <f>transport!K54</f>
        <v>0</v>
      </c>
      <c r="L10" s="448">
        <f>transport!L54</f>
        <v>0</v>
      </c>
      <c r="M10" s="448">
        <f>transport!M54</f>
        <v>218.92145817709712</v>
      </c>
      <c r="N10" s="448">
        <f>transport!N54</f>
        <v>0</v>
      </c>
      <c r="O10" s="448">
        <f>transport!O54</f>
        <v>0</v>
      </c>
      <c r="P10" s="449">
        <f>transport!P54</f>
        <v>0</v>
      </c>
      <c r="Q10" s="447">
        <f t="shared" si="0"/>
        <v>4142.7439556746267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1489.5653609999999</v>
      </c>
      <c r="C14" s="455"/>
      <c r="D14" s="455">
        <f>'SEAP template'!E25</f>
        <v>5001.0224510000007</v>
      </c>
      <c r="E14" s="455"/>
      <c r="F14" s="455"/>
      <c r="G14" s="455"/>
      <c r="H14" s="455"/>
      <c r="I14" s="455"/>
      <c r="J14" s="455"/>
      <c r="K14" s="455"/>
      <c r="L14" s="455"/>
      <c r="M14" s="455"/>
      <c r="N14" s="455"/>
      <c r="O14" s="455"/>
      <c r="P14" s="456"/>
      <c r="Q14" s="447">
        <f t="shared" si="0"/>
        <v>6490.5878120000007</v>
      </c>
    </row>
    <row r="15" spans="1:17" s="459" customFormat="1">
      <c r="A15" s="457" t="s">
        <v>538</v>
      </c>
      <c r="B15" s="458">
        <f ca="1">SUM(B4:B14)</f>
        <v>77861.480779041682</v>
      </c>
      <c r="C15" s="458">
        <f t="shared" ref="C15:Q15" ca="1" si="1">SUM(C4:C14)</f>
        <v>0</v>
      </c>
      <c r="D15" s="458">
        <f t="shared" ca="1" si="1"/>
        <v>179210.23408670712</v>
      </c>
      <c r="E15" s="458">
        <f t="shared" si="1"/>
        <v>4620.7050876013582</v>
      </c>
      <c r="F15" s="458">
        <f t="shared" ca="1" si="1"/>
        <v>59361.839929163078</v>
      </c>
      <c r="G15" s="458">
        <f t="shared" si="1"/>
        <v>225796.33335176716</v>
      </c>
      <c r="H15" s="458">
        <f t="shared" si="1"/>
        <v>54623.038332938486</v>
      </c>
      <c r="I15" s="458">
        <f t="shared" si="1"/>
        <v>0</v>
      </c>
      <c r="J15" s="458">
        <f t="shared" si="1"/>
        <v>393.72966737269832</v>
      </c>
      <c r="K15" s="458">
        <f t="shared" si="1"/>
        <v>0</v>
      </c>
      <c r="L15" s="458">
        <f t="shared" ca="1" si="1"/>
        <v>0</v>
      </c>
      <c r="M15" s="458">
        <f t="shared" si="1"/>
        <v>16627.742996736517</v>
      </c>
      <c r="N15" s="458">
        <f t="shared" ca="1" si="1"/>
        <v>16079.826220373123</v>
      </c>
      <c r="O15" s="458">
        <f t="shared" si="1"/>
        <v>504.85473205137322</v>
      </c>
      <c r="P15" s="458">
        <f t="shared" si="1"/>
        <v>547.63522576769105</v>
      </c>
      <c r="Q15" s="458">
        <f t="shared" ca="1" si="1"/>
        <v>635627.42040952016</v>
      </c>
    </row>
    <row r="17" spans="1:17">
      <c r="A17" s="460" t="s">
        <v>539</v>
      </c>
      <c r="B17" s="776">
        <f ca="1">huishoudens!B10</f>
        <v>0.21044448867146176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9098.6592784927816</v>
      </c>
      <c r="C22" s="448">
        <f t="shared" ref="C22:C32" ca="1" si="3">C4*$C$17</f>
        <v>0</v>
      </c>
      <c r="D22" s="448">
        <f t="shared" ref="D22:D32" si="4">D4*$D$17</f>
        <v>26113.085820354332</v>
      </c>
      <c r="E22" s="448">
        <f t="shared" ref="E22:E32" si="5">E4*$E$17</f>
        <v>749.8364955952768</v>
      </c>
      <c r="F22" s="448">
        <f t="shared" ref="F22:F32" si="6">F4*$F$17</f>
        <v>14218.471836061046</v>
      </c>
      <c r="G22" s="448">
        <f t="shared" ref="G22:G32" si="7">G4*$G$17</f>
        <v>0</v>
      </c>
      <c r="H22" s="448">
        <f t="shared" ref="H22:H32" si="8">H4*$H$17</f>
        <v>0</v>
      </c>
      <c r="I22" s="448">
        <f t="shared" ref="I22:I32" si="9">I4*$I$17</f>
        <v>0</v>
      </c>
      <c r="J22" s="448">
        <f t="shared" ref="J22:J32" si="10">J4*$J$17</f>
        <v>75.310739753074273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50255.364170256515</v>
      </c>
    </row>
    <row r="23" spans="1:17">
      <c r="A23" s="447" t="s">
        <v>155</v>
      </c>
      <c r="B23" s="448">
        <f t="shared" ca="1" si="2"/>
        <v>6005.238944140674</v>
      </c>
      <c r="C23" s="448">
        <f t="shared" ca="1" si="3"/>
        <v>0</v>
      </c>
      <c r="D23" s="448">
        <f t="shared" ca="1" si="4"/>
        <v>8158.56967682513</v>
      </c>
      <c r="E23" s="448">
        <f t="shared" si="5"/>
        <v>85.60624734178981</v>
      </c>
      <c r="F23" s="448">
        <f t="shared" ca="1" si="6"/>
        <v>880.54641559789957</v>
      </c>
      <c r="G23" s="448">
        <f t="shared" si="7"/>
        <v>0</v>
      </c>
      <c r="H23" s="448">
        <f t="shared" si="8"/>
        <v>0</v>
      </c>
      <c r="I23" s="448">
        <f t="shared" si="9"/>
        <v>0</v>
      </c>
      <c r="J23" s="448">
        <f t="shared" si="10"/>
        <v>2.1666742971813466E-2</v>
      </c>
      <c r="K23" s="448">
        <f t="shared" si="11"/>
        <v>0</v>
      </c>
      <c r="L23" s="448">
        <f t="shared" ca="1" si="12"/>
        <v>0</v>
      </c>
      <c r="M23" s="448">
        <f t="shared" si="13"/>
        <v>0</v>
      </c>
      <c r="N23" s="448">
        <f t="shared" ca="1" si="14"/>
        <v>0</v>
      </c>
      <c r="O23" s="448">
        <f t="shared" si="15"/>
        <v>0</v>
      </c>
      <c r="P23" s="449">
        <f t="shared" si="16"/>
        <v>0</v>
      </c>
      <c r="Q23" s="447">
        <f t="shared" ref="Q23:Q31" ca="1" si="17">SUM(B23:P23)</f>
        <v>15129.982950648464</v>
      </c>
    </row>
    <row r="24" spans="1:17">
      <c r="A24" s="447" t="s">
        <v>193</v>
      </c>
      <c r="B24" s="448">
        <f t="shared" ca="1" si="2"/>
        <v>237.83068220472242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237.83068220472242</v>
      </c>
    </row>
    <row r="25" spans="1:17">
      <c r="A25" s="447" t="s">
        <v>111</v>
      </c>
      <c r="B25" s="448">
        <f t="shared" ca="1" si="2"/>
        <v>103.77966714766994</v>
      </c>
      <c r="C25" s="448">
        <f t="shared" ca="1" si="3"/>
        <v>0</v>
      </c>
      <c r="D25" s="448">
        <f t="shared" si="4"/>
        <v>276.32116208030402</v>
      </c>
      <c r="E25" s="448">
        <f t="shared" si="5"/>
        <v>3.4937333385528468</v>
      </c>
      <c r="F25" s="448">
        <f t="shared" si="6"/>
        <v>465.33544748666878</v>
      </c>
      <c r="G25" s="448">
        <f t="shared" si="7"/>
        <v>0</v>
      </c>
      <c r="H25" s="448">
        <f t="shared" si="8"/>
        <v>0</v>
      </c>
      <c r="I25" s="448">
        <f t="shared" si="9"/>
        <v>0</v>
      </c>
      <c r="J25" s="448">
        <f t="shared" si="10"/>
        <v>48.096172238202215</v>
      </c>
      <c r="K25" s="448">
        <f t="shared" si="11"/>
        <v>0</v>
      </c>
      <c r="L25" s="448">
        <f t="shared" si="12"/>
        <v>0</v>
      </c>
      <c r="M25" s="448">
        <f t="shared" si="13"/>
        <v>0</v>
      </c>
      <c r="N25" s="448">
        <f t="shared" si="14"/>
        <v>0</v>
      </c>
      <c r="O25" s="448">
        <f t="shared" si="15"/>
        <v>0</v>
      </c>
      <c r="P25" s="449">
        <f t="shared" si="16"/>
        <v>0</v>
      </c>
      <c r="Q25" s="447">
        <f t="shared" ca="1" si="17"/>
        <v>897.02618229139784</v>
      </c>
    </row>
    <row r="26" spans="1:17">
      <c r="A26" s="447" t="s">
        <v>618</v>
      </c>
      <c r="B26" s="448">
        <f t="shared" ca="1" si="2"/>
        <v>533.97087318977231</v>
      </c>
      <c r="C26" s="448">
        <f t="shared" ca="1" si="3"/>
        <v>0</v>
      </c>
      <c r="D26" s="448">
        <f t="shared" si="4"/>
        <v>521.29089912776806</v>
      </c>
      <c r="E26" s="448">
        <f t="shared" si="5"/>
        <v>77.420099811925823</v>
      </c>
      <c r="F26" s="448">
        <f t="shared" si="6"/>
        <v>285.25756194092963</v>
      </c>
      <c r="G26" s="448">
        <f t="shared" si="7"/>
        <v>0</v>
      </c>
      <c r="H26" s="448">
        <f t="shared" si="8"/>
        <v>0</v>
      </c>
      <c r="I26" s="448">
        <f t="shared" si="9"/>
        <v>0</v>
      </c>
      <c r="J26" s="448">
        <f t="shared" si="10"/>
        <v>15.951723515686902</v>
      </c>
      <c r="K26" s="448">
        <f t="shared" si="11"/>
        <v>0</v>
      </c>
      <c r="L26" s="448">
        <f t="shared" si="12"/>
        <v>0</v>
      </c>
      <c r="M26" s="448">
        <f t="shared" si="13"/>
        <v>0</v>
      </c>
      <c r="N26" s="448">
        <f t="shared" si="14"/>
        <v>0</v>
      </c>
      <c r="O26" s="448">
        <f t="shared" si="15"/>
        <v>0</v>
      </c>
      <c r="P26" s="449">
        <f t="shared" si="16"/>
        <v>0</v>
      </c>
      <c r="Q26" s="447">
        <f t="shared" ca="1" si="17"/>
        <v>1433.8911575860827</v>
      </c>
    </row>
    <row r="27" spans="1:17" s="453" customFormat="1">
      <c r="A27" s="451" t="s">
        <v>544</v>
      </c>
      <c r="B27" s="770">
        <f t="shared" ca="1" si="2"/>
        <v>81.327175935871765</v>
      </c>
      <c r="C27" s="452">
        <f t="shared" ca="1" si="3"/>
        <v>0</v>
      </c>
      <c r="D27" s="452">
        <f t="shared" si="4"/>
        <v>120.99319202530448</v>
      </c>
      <c r="E27" s="452">
        <f t="shared" si="5"/>
        <v>132.5434787979631</v>
      </c>
      <c r="F27" s="452">
        <f t="shared" si="6"/>
        <v>0</v>
      </c>
      <c r="G27" s="452">
        <f t="shared" si="7"/>
        <v>59254.223694543252</v>
      </c>
      <c r="H27" s="452">
        <f t="shared" si="8"/>
        <v>13601.136544901683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73190.224086204078</v>
      </c>
    </row>
    <row r="28" spans="1:17" ht="16.5" customHeight="1">
      <c r="A28" s="447" t="s">
        <v>534</v>
      </c>
      <c r="B28" s="448">
        <f t="shared" ca="1" si="2"/>
        <v>11.242067898413399</v>
      </c>
      <c r="C28" s="448">
        <f t="shared" ca="1" si="3"/>
        <v>0</v>
      </c>
      <c r="D28" s="448">
        <f t="shared" si="4"/>
        <v>0</v>
      </c>
      <c r="E28" s="448">
        <f t="shared" si="5"/>
        <v>0</v>
      </c>
      <c r="F28" s="448">
        <f t="shared" si="6"/>
        <v>0</v>
      </c>
      <c r="G28" s="448">
        <f t="shared" si="7"/>
        <v>1033.3973103785777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1044.639378276991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313.47082073836634</v>
      </c>
      <c r="C32" s="448">
        <f t="shared" ca="1" si="3"/>
        <v>0</v>
      </c>
      <c r="D32" s="448">
        <f t="shared" si="4"/>
        <v>1010.2065351020002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1323.6773558403665</v>
      </c>
    </row>
    <row r="33" spans="1:17" s="459" customFormat="1">
      <c r="A33" s="457" t="s">
        <v>538</v>
      </c>
      <c r="B33" s="458">
        <f ca="1">SUM(B22:B32)</f>
        <v>16385.519509748268</v>
      </c>
      <c r="C33" s="458">
        <f t="shared" ref="C33:Q33" ca="1" si="19">SUM(C22:C32)</f>
        <v>0</v>
      </c>
      <c r="D33" s="458">
        <f t="shared" ca="1" si="19"/>
        <v>36200.467285514838</v>
      </c>
      <c r="E33" s="458">
        <f t="shared" si="19"/>
        <v>1048.9000548855086</v>
      </c>
      <c r="F33" s="458">
        <f t="shared" ca="1" si="19"/>
        <v>15849.611261086542</v>
      </c>
      <c r="G33" s="458">
        <f t="shared" si="19"/>
        <v>60287.621004921828</v>
      </c>
      <c r="H33" s="458">
        <f t="shared" si="19"/>
        <v>13601.136544901683</v>
      </c>
      <c r="I33" s="458">
        <f t="shared" si="19"/>
        <v>0</v>
      </c>
      <c r="J33" s="458">
        <f t="shared" si="19"/>
        <v>139.3803022499352</v>
      </c>
      <c r="K33" s="458">
        <f t="shared" si="19"/>
        <v>0</v>
      </c>
      <c r="L33" s="458">
        <f t="shared" ca="1" si="19"/>
        <v>0</v>
      </c>
      <c r="M33" s="458">
        <f t="shared" si="19"/>
        <v>0</v>
      </c>
      <c r="N33" s="458">
        <f t="shared" ca="1" si="19"/>
        <v>0</v>
      </c>
      <c r="O33" s="458">
        <f t="shared" si="19"/>
        <v>0</v>
      </c>
      <c r="P33" s="458">
        <f t="shared" si="19"/>
        <v>0</v>
      </c>
      <c r="Q33" s="458">
        <f t="shared" ca="1" si="19"/>
        <v>143512.63596330862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19.108690261136712</v>
      </c>
      <c r="C5" s="1021"/>
      <c r="D5" s="1021"/>
      <c r="E5" s="1021"/>
      <c r="F5" s="1021"/>
      <c r="G5" s="1021"/>
      <c r="H5" s="1021"/>
      <c r="I5" s="1021"/>
      <c r="J5" s="1021"/>
      <c r="K5" s="1021"/>
      <c r="L5" s="1021"/>
      <c r="M5" s="1021"/>
      <c r="N5" s="1021"/>
      <c r="O5" s="1021"/>
      <c r="P5" s="1022">
        <f>'SEAP template'!Q73</f>
        <v>0</v>
      </c>
    </row>
    <row r="6" spans="1:16">
      <c r="A6" s="1026" t="s">
        <v>245</v>
      </c>
      <c r="B6" s="1021">
        <f>'SEAP template'!B74</f>
        <v>3699.7498727250113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3718.8585629861482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0.21044448867146176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0.21044448867146176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0.21044448867146176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0.21044448867146176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9835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1567.57</v>
      </c>
      <c r="C14" s="326"/>
      <c r="D14" s="326"/>
      <c r="E14" s="326"/>
      <c r="F14" s="326"/>
    </row>
    <row r="15" spans="1:6">
      <c r="A15" s="1298" t="s">
        <v>183</v>
      </c>
      <c r="B15" s="1299">
        <v>1</v>
      </c>
      <c r="C15" s="326"/>
      <c r="D15" s="326"/>
      <c r="E15" s="326"/>
      <c r="F15" s="326"/>
    </row>
    <row r="16" spans="1:6">
      <c r="A16" s="1298" t="s">
        <v>6</v>
      </c>
      <c r="B16" s="1299">
        <v>108</v>
      </c>
      <c r="C16" s="326"/>
      <c r="D16" s="326"/>
      <c r="E16" s="326"/>
      <c r="F16" s="326"/>
    </row>
    <row r="17" spans="1:6">
      <c r="A17" s="1298" t="s">
        <v>7</v>
      </c>
      <c r="B17" s="1299">
        <v>45</v>
      </c>
      <c r="C17" s="326"/>
      <c r="D17" s="326"/>
      <c r="E17" s="326"/>
      <c r="F17" s="326"/>
    </row>
    <row r="18" spans="1:6">
      <c r="A18" s="1298" t="s">
        <v>8</v>
      </c>
      <c r="B18" s="1299">
        <v>118</v>
      </c>
      <c r="C18" s="326"/>
      <c r="D18" s="326"/>
      <c r="E18" s="326"/>
      <c r="F18" s="326"/>
    </row>
    <row r="19" spans="1:6">
      <c r="A19" s="1298" t="s">
        <v>9</v>
      </c>
      <c r="B19" s="1299">
        <v>166</v>
      </c>
      <c r="C19" s="326"/>
      <c r="D19" s="326"/>
      <c r="E19" s="326"/>
      <c r="F19" s="326"/>
    </row>
    <row r="20" spans="1:6">
      <c r="A20" s="1298" t="s">
        <v>10</v>
      </c>
      <c r="B20" s="1299">
        <v>56</v>
      </c>
      <c r="C20" s="326"/>
      <c r="D20" s="326"/>
      <c r="E20" s="326"/>
      <c r="F20" s="326"/>
    </row>
    <row r="21" spans="1:6">
      <c r="A21" s="1298" t="s">
        <v>11</v>
      </c>
      <c r="B21" s="1299">
        <v>0</v>
      </c>
      <c r="C21" s="326"/>
      <c r="D21" s="326"/>
      <c r="E21" s="326"/>
      <c r="F21" s="326"/>
    </row>
    <row r="22" spans="1:6">
      <c r="A22" s="1298" t="s">
        <v>12</v>
      </c>
      <c r="B22" s="1299">
        <v>3</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253</v>
      </c>
      <c r="C26" s="326"/>
      <c r="D26" s="326"/>
      <c r="E26" s="326"/>
      <c r="F26" s="326"/>
    </row>
    <row r="27" spans="1:6">
      <c r="A27" s="1298" t="s">
        <v>17</v>
      </c>
      <c r="B27" s="1299">
        <v>6</v>
      </c>
      <c r="C27" s="326"/>
      <c r="D27" s="326"/>
      <c r="E27" s="326"/>
      <c r="F27" s="326"/>
    </row>
    <row r="28" spans="1:6" s="43" customFormat="1">
      <c r="A28" s="1300" t="s">
        <v>18</v>
      </c>
      <c r="B28" s="1301">
        <v>22</v>
      </c>
      <c r="C28" s="332"/>
      <c r="D28" s="332"/>
      <c r="E28" s="332"/>
      <c r="F28" s="332"/>
    </row>
    <row r="29" spans="1:6">
      <c r="A29" s="1300" t="s">
        <v>695</v>
      </c>
      <c r="B29" s="1301">
        <v>147</v>
      </c>
      <c r="C29" s="332"/>
      <c r="D29" s="332"/>
      <c r="E29" s="332"/>
      <c r="F29" s="332"/>
    </row>
    <row r="30" spans="1:6">
      <c r="A30" s="1293" t="s">
        <v>696</v>
      </c>
      <c r="B30" s="1302">
        <v>38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24288.26</v>
      </c>
    </row>
    <row r="37" spans="1:6">
      <c r="A37" s="1298" t="s">
        <v>24</v>
      </c>
      <c r="B37" s="1298" t="s">
        <v>27</v>
      </c>
      <c r="C37" s="1299">
        <v>0</v>
      </c>
      <c r="D37" s="1299">
        <v>0</v>
      </c>
      <c r="E37" s="1299">
        <v>0</v>
      </c>
      <c r="F37" s="1299">
        <v>0</v>
      </c>
    </row>
    <row r="38" spans="1:6">
      <c r="A38" s="1298" t="s">
        <v>24</v>
      </c>
      <c r="B38" s="1298" t="s">
        <v>28</v>
      </c>
      <c r="C38" s="1299">
        <v>1</v>
      </c>
      <c r="D38" s="1299">
        <v>29665.274000000001</v>
      </c>
      <c r="E38" s="1299">
        <v>3</v>
      </c>
      <c r="F38" s="1299">
        <v>57583.446000000004</v>
      </c>
    </row>
    <row r="39" spans="1:6">
      <c r="A39" s="1298" t="s">
        <v>29</v>
      </c>
      <c r="B39" s="1298" t="s">
        <v>30</v>
      </c>
      <c r="C39" s="1299">
        <v>6271</v>
      </c>
      <c r="D39" s="1299">
        <v>143297057.80000001</v>
      </c>
      <c r="E39" s="1299">
        <v>9645</v>
      </c>
      <c r="F39" s="1299">
        <v>39788265.460000001</v>
      </c>
    </row>
    <row r="40" spans="1:6">
      <c r="A40" s="1298" t="s">
        <v>29</v>
      </c>
      <c r="B40" s="1298" t="s">
        <v>28</v>
      </c>
      <c r="C40" s="1299">
        <v>1</v>
      </c>
      <c r="D40" s="1299">
        <v>20793.731</v>
      </c>
      <c r="E40" s="1299">
        <v>1</v>
      </c>
      <c r="F40" s="1299">
        <v>7738.2939999999999</v>
      </c>
    </row>
    <row r="41" spans="1:6">
      <c r="A41" s="1298" t="s">
        <v>31</v>
      </c>
      <c r="B41" s="1298" t="s">
        <v>32</v>
      </c>
      <c r="C41" s="1299">
        <v>66</v>
      </c>
      <c r="D41" s="1299">
        <v>1743925.6939999999</v>
      </c>
      <c r="E41" s="1299">
        <v>146</v>
      </c>
      <c r="F41" s="1299">
        <v>1146017.432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86689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115023.742</v>
      </c>
      <c r="E47" s="1299">
        <v>10</v>
      </c>
      <c r="F47" s="1299">
        <v>376785.951</v>
      </c>
    </row>
    <row r="48" spans="1:6">
      <c r="A48" s="1298" t="s">
        <v>31</v>
      </c>
      <c r="B48" s="1298" t="s">
        <v>28</v>
      </c>
      <c r="C48" s="1299">
        <v>18</v>
      </c>
      <c r="D48" s="1299">
        <v>663768.11699999997</v>
      </c>
      <c r="E48" s="1299">
        <v>23</v>
      </c>
      <c r="F48" s="1299">
        <v>454131.54100000003</v>
      </c>
    </row>
    <row r="49" spans="1:6">
      <c r="A49" s="1298" t="s">
        <v>31</v>
      </c>
      <c r="B49" s="1298" t="s">
        <v>39</v>
      </c>
      <c r="C49" s="1299">
        <v>0</v>
      </c>
      <c r="D49" s="1299">
        <v>0</v>
      </c>
      <c r="E49" s="1299">
        <v>0</v>
      </c>
      <c r="F49" s="1299">
        <v>0</v>
      </c>
    </row>
    <row r="50" spans="1:6">
      <c r="A50" s="1298" t="s">
        <v>31</v>
      </c>
      <c r="B50" s="1298" t="s">
        <v>40</v>
      </c>
      <c r="C50" s="1299">
        <v>3</v>
      </c>
      <c r="D50" s="1299">
        <v>338311.28899999999</v>
      </c>
      <c r="E50" s="1299">
        <v>9</v>
      </c>
      <c r="F50" s="1299">
        <v>473723.93699999998</v>
      </c>
    </row>
    <row r="51" spans="1:6">
      <c r="A51" s="1298" t="s">
        <v>41</v>
      </c>
      <c r="B51" s="1298" t="s">
        <v>42</v>
      </c>
      <c r="C51" s="1299">
        <v>19</v>
      </c>
      <c r="D51" s="1299">
        <v>1451782.115</v>
      </c>
      <c r="E51" s="1299">
        <v>84</v>
      </c>
      <c r="F51" s="1299">
        <v>439106.266</v>
      </c>
    </row>
    <row r="52" spans="1:6">
      <c r="A52" s="1298" t="s">
        <v>41</v>
      </c>
      <c r="B52" s="1298" t="s">
        <v>28</v>
      </c>
      <c r="C52" s="1299">
        <v>2</v>
      </c>
      <c r="D52" s="1299">
        <v>64766.161</v>
      </c>
      <c r="E52" s="1299">
        <v>8</v>
      </c>
      <c r="F52" s="1299">
        <v>54038.828000000001</v>
      </c>
    </row>
    <row r="53" spans="1:6">
      <c r="A53" s="1298" t="s">
        <v>43</v>
      </c>
      <c r="B53" s="1298" t="s">
        <v>44</v>
      </c>
      <c r="C53" s="1299">
        <v>185</v>
      </c>
      <c r="D53" s="1299">
        <v>5001022.4510000004</v>
      </c>
      <c r="E53" s="1299">
        <v>366</v>
      </c>
      <c r="F53" s="1299">
        <v>1489565.361</v>
      </c>
    </row>
    <row r="54" spans="1:6">
      <c r="A54" s="1298" t="s">
        <v>45</v>
      </c>
      <c r="B54" s="1298" t="s">
        <v>46</v>
      </c>
      <c r="C54" s="1299">
        <v>0</v>
      </c>
      <c r="D54" s="1299">
        <v>0</v>
      </c>
      <c r="E54" s="1299">
        <v>1</v>
      </c>
      <c r="F54" s="1299">
        <v>1130135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79</v>
      </c>
      <c r="D57" s="1299">
        <v>8780896.1060000006</v>
      </c>
      <c r="E57" s="1299">
        <v>92</v>
      </c>
      <c r="F57" s="1299">
        <v>3113154.7420000001</v>
      </c>
    </row>
    <row r="58" spans="1:6">
      <c r="A58" s="1298" t="s">
        <v>48</v>
      </c>
      <c r="B58" s="1298" t="s">
        <v>50</v>
      </c>
      <c r="C58" s="1299">
        <v>54</v>
      </c>
      <c r="D58" s="1299">
        <v>4185629.6090000002</v>
      </c>
      <c r="E58" s="1299">
        <v>69</v>
      </c>
      <c r="F58" s="1299">
        <v>1267092.523</v>
      </c>
    </row>
    <row r="59" spans="1:6">
      <c r="A59" s="1298" t="s">
        <v>48</v>
      </c>
      <c r="B59" s="1298" t="s">
        <v>51</v>
      </c>
      <c r="C59" s="1299">
        <v>120</v>
      </c>
      <c r="D59" s="1299">
        <v>7118457.5860000001</v>
      </c>
      <c r="E59" s="1299">
        <v>274</v>
      </c>
      <c r="F59" s="1299">
        <v>7594999.6380000003</v>
      </c>
    </row>
    <row r="60" spans="1:6">
      <c r="A60" s="1298" t="s">
        <v>48</v>
      </c>
      <c r="B60" s="1298" t="s">
        <v>52</v>
      </c>
      <c r="C60" s="1299">
        <v>83</v>
      </c>
      <c r="D60" s="1299">
        <v>4842649.5429999996</v>
      </c>
      <c r="E60" s="1299">
        <v>95</v>
      </c>
      <c r="F60" s="1299">
        <v>3333181.0529999998</v>
      </c>
    </row>
    <row r="61" spans="1:6">
      <c r="A61" s="1298" t="s">
        <v>48</v>
      </c>
      <c r="B61" s="1298" t="s">
        <v>53</v>
      </c>
      <c r="C61" s="1299">
        <v>289</v>
      </c>
      <c r="D61" s="1299">
        <v>12337456.9</v>
      </c>
      <c r="E61" s="1299">
        <v>611</v>
      </c>
      <c r="F61" s="1299">
        <v>8712962.8619999997</v>
      </c>
    </row>
    <row r="62" spans="1:6">
      <c r="A62" s="1298" t="s">
        <v>48</v>
      </c>
      <c r="B62" s="1298" t="s">
        <v>54</v>
      </c>
      <c r="C62" s="1299">
        <v>8</v>
      </c>
      <c r="D62" s="1299">
        <v>642809.00800000003</v>
      </c>
      <c r="E62" s="1299">
        <v>13</v>
      </c>
      <c r="F62" s="1299">
        <v>154223.18700000001</v>
      </c>
    </row>
    <row r="63" spans="1:6">
      <c r="A63" s="1298" t="s">
        <v>48</v>
      </c>
      <c r="B63" s="1298" t="s">
        <v>28</v>
      </c>
      <c r="C63" s="1299">
        <v>94</v>
      </c>
      <c r="D63" s="1299">
        <v>6869217.4299999997</v>
      </c>
      <c r="E63" s="1299">
        <v>101</v>
      </c>
      <c r="F63" s="1299">
        <v>4360362.3090000004</v>
      </c>
    </row>
    <row r="64" spans="1:6">
      <c r="A64" s="1298" t="s">
        <v>55</v>
      </c>
      <c r="B64" s="1298" t="s">
        <v>56</v>
      </c>
      <c r="C64" s="1299">
        <v>0</v>
      </c>
      <c r="D64" s="1299">
        <v>0</v>
      </c>
      <c r="E64" s="1299">
        <v>0</v>
      </c>
      <c r="F64" s="1299">
        <v>0</v>
      </c>
    </row>
    <row r="65" spans="1:6">
      <c r="A65" s="1298" t="s">
        <v>55</v>
      </c>
      <c r="B65" s="1298" t="s">
        <v>28</v>
      </c>
      <c r="C65" s="1299">
        <v>3</v>
      </c>
      <c r="D65" s="1299">
        <v>333871.54499999998</v>
      </c>
      <c r="E65" s="1299">
        <v>4</v>
      </c>
      <c r="F65" s="1299">
        <v>157905.592</v>
      </c>
    </row>
    <row r="66" spans="1:6">
      <c r="A66" s="1298" t="s">
        <v>55</v>
      </c>
      <c r="B66" s="1298" t="s">
        <v>57</v>
      </c>
      <c r="C66" s="1299">
        <v>0</v>
      </c>
      <c r="D66" s="1299">
        <v>0</v>
      </c>
      <c r="E66" s="1299">
        <v>21</v>
      </c>
      <c r="F66" s="1299">
        <v>292547</v>
      </c>
    </row>
    <row r="67" spans="1:6">
      <c r="A67" s="1300" t="s">
        <v>55</v>
      </c>
      <c r="B67" s="1300" t="s">
        <v>58</v>
      </c>
      <c r="C67" s="1299">
        <v>0</v>
      </c>
      <c r="D67" s="1299">
        <v>0</v>
      </c>
      <c r="E67" s="1299">
        <v>0</v>
      </c>
      <c r="F67" s="1299">
        <v>0</v>
      </c>
    </row>
    <row r="68" spans="1:6">
      <c r="A68" s="1293" t="s">
        <v>55</v>
      </c>
      <c r="B68" s="1293" t="s">
        <v>59</v>
      </c>
      <c r="C68" s="1302">
        <v>4</v>
      </c>
      <c r="D68" s="1302">
        <v>274176.83899999998</v>
      </c>
      <c r="E68" s="1302">
        <v>12</v>
      </c>
      <c r="F68" s="1302">
        <v>72009.053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88566049</v>
      </c>
      <c r="E73" s="446"/>
      <c r="F73" s="326"/>
    </row>
    <row r="74" spans="1:6">
      <c r="A74" s="1298" t="s">
        <v>63</v>
      </c>
      <c r="B74" s="1298" t="s">
        <v>639</v>
      </c>
      <c r="C74" s="1312" t="s">
        <v>641</v>
      </c>
      <c r="D74" s="1313">
        <v>3141851</v>
      </c>
      <c r="E74" s="446"/>
      <c r="F74" s="326"/>
    </row>
    <row r="75" spans="1:6">
      <c r="A75" s="1298" t="s">
        <v>64</v>
      </c>
      <c r="B75" s="1298" t="s">
        <v>638</v>
      </c>
      <c r="C75" s="1312" t="s">
        <v>642</v>
      </c>
      <c r="D75" s="1313">
        <v>49581861</v>
      </c>
      <c r="E75" s="446"/>
      <c r="F75" s="326"/>
    </row>
    <row r="76" spans="1:6">
      <c r="A76" s="1298" t="s">
        <v>64</v>
      </c>
      <c r="B76" s="1298" t="s">
        <v>639</v>
      </c>
      <c r="C76" s="1312" t="s">
        <v>643</v>
      </c>
      <c r="D76" s="1313">
        <v>980640</v>
      </c>
      <c r="E76" s="446"/>
      <c r="F76" s="326"/>
    </row>
    <row r="77" spans="1:6">
      <c r="A77" s="1298" t="s">
        <v>65</v>
      </c>
      <c r="B77" s="1298" t="s">
        <v>638</v>
      </c>
      <c r="C77" s="1312" t="s">
        <v>644</v>
      </c>
      <c r="D77" s="1313">
        <v>219927186</v>
      </c>
      <c r="E77" s="446"/>
      <c r="F77" s="326"/>
    </row>
    <row r="78" spans="1:6">
      <c r="A78" s="1293" t="s">
        <v>65</v>
      </c>
      <c r="B78" s="1293" t="s">
        <v>639</v>
      </c>
      <c r="C78" s="1293" t="s">
        <v>645</v>
      </c>
      <c r="D78" s="1314">
        <v>16163898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1135196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19.108690261136712</v>
      </c>
      <c r="C89" s="326"/>
      <c r="D89" s="326"/>
      <c r="E89" s="326"/>
      <c r="F89" s="326"/>
    </row>
    <row r="90" spans="1:6">
      <c r="A90" s="1298" t="s">
        <v>532</v>
      </c>
      <c r="B90" s="1299">
        <v>0</v>
      </c>
      <c r="C90" s="326"/>
      <c r="D90" s="326"/>
      <c r="E90" s="326"/>
      <c r="F90" s="326"/>
    </row>
    <row r="91" spans="1:6">
      <c r="A91" s="1298" t="s">
        <v>67</v>
      </c>
      <c r="B91" s="1299">
        <v>3439.4325167843394</v>
      </c>
      <c r="C91" s="326"/>
      <c r="D91" s="326"/>
      <c r="E91" s="326"/>
      <c r="F91" s="326"/>
    </row>
    <row r="92" spans="1:6">
      <c r="A92" s="1293" t="s">
        <v>68</v>
      </c>
      <c r="B92" s="1294">
        <v>260.3173559406718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3706</v>
      </c>
      <c r="C97" s="326"/>
      <c r="D97" s="326"/>
      <c r="E97" s="326"/>
      <c r="F97" s="326"/>
    </row>
    <row r="98" spans="1:6">
      <c r="A98" s="1298" t="s">
        <v>71</v>
      </c>
      <c r="B98" s="1299">
        <v>4</v>
      </c>
      <c r="C98" s="326"/>
      <c r="D98" s="326"/>
      <c r="E98" s="326"/>
      <c r="F98" s="326"/>
    </row>
    <row r="99" spans="1:6">
      <c r="A99" s="1298" t="s">
        <v>72</v>
      </c>
      <c r="B99" s="1299">
        <v>74</v>
      </c>
      <c r="C99" s="326"/>
      <c r="D99" s="326"/>
      <c r="E99" s="326"/>
      <c r="F99" s="326"/>
    </row>
    <row r="100" spans="1:6">
      <c r="A100" s="1298" t="s">
        <v>73</v>
      </c>
      <c r="B100" s="1299">
        <v>477</v>
      </c>
      <c r="C100" s="326"/>
      <c r="D100" s="326"/>
      <c r="E100" s="326"/>
      <c r="F100" s="326"/>
    </row>
    <row r="101" spans="1:6">
      <c r="A101" s="1298" t="s">
        <v>74</v>
      </c>
      <c r="B101" s="1299">
        <v>44</v>
      </c>
      <c r="C101" s="326"/>
      <c r="D101" s="326"/>
      <c r="E101" s="326"/>
      <c r="F101" s="326"/>
    </row>
    <row r="102" spans="1:6">
      <c r="A102" s="1298" t="s">
        <v>75</v>
      </c>
      <c r="B102" s="1299">
        <v>114</v>
      </c>
      <c r="C102" s="326"/>
      <c r="D102" s="326"/>
      <c r="E102" s="326"/>
      <c r="F102" s="326"/>
    </row>
    <row r="103" spans="1:6">
      <c r="A103" s="1298" t="s">
        <v>76</v>
      </c>
      <c r="B103" s="1299">
        <v>138</v>
      </c>
      <c r="C103" s="326"/>
      <c r="D103" s="326"/>
      <c r="E103" s="326"/>
      <c r="F103" s="326"/>
    </row>
    <row r="104" spans="1:6">
      <c r="A104" s="1298" t="s">
        <v>77</v>
      </c>
      <c r="B104" s="1299">
        <v>3945</v>
      </c>
      <c r="C104" s="326"/>
      <c r="D104" s="326"/>
      <c r="E104" s="326"/>
      <c r="F104" s="326"/>
    </row>
    <row r="105" spans="1:6">
      <c r="A105" s="1293" t="s">
        <v>78</v>
      </c>
      <c r="B105" s="1302">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31</v>
      </c>
      <c r="C123" s="1299">
        <v>67</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185</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15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77861.480779041653</v>
      </c>
      <c r="C3" s="43" t="s">
        <v>169</v>
      </c>
      <c r="D3" s="43"/>
      <c r="E3" s="154"/>
      <c r="F3" s="43"/>
      <c r="G3" s="43"/>
      <c r="H3" s="43"/>
      <c r="I3" s="43"/>
      <c r="J3" s="43"/>
      <c r="K3" s="96"/>
    </row>
    <row r="4" spans="1:11">
      <c r="A4" s="354" t="s">
        <v>170</v>
      </c>
      <c r="B4" s="49">
        <f>IF(ISERROR('SEAP template'!B78+'SEAP template'!C78),0,'SEAP template'!B78+'SEAP template'!C78)</f>
        <v>3718.8585629861482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0.21044448867146176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1130.135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1130.135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0.21044448867146176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237.83068220472242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39796.003753999998</v>
      </c>
      <c r="C5" s="17">
        <f>IF(ISERROR('Eigen informatie GS &amp; warmtenet'!B59),0,'Eigen informatie GS &amp; warmtenet'!B59)</f>
        <v>0</v>
      </c>
      <c r="D5" s="30">
        <f>(SUM(HH_hh_gas_kWh,HH_rest_gas_kWh)/1000)*0.902</f>
        <v>129272.70208096203</v>
      </c>
      <c r="E5" s="17">
        <f>B32*B41</f>
        <v>3303.2444739880034</v>
      </c>
      <c r="F5" s="17">
        <f>B36*B45</f>
        <v>53252.703505846614</v>
      </c>
      <c r="G5" s="18"/>
      <c r="H5" s="17"/>
      <c r="I5" s="17"/>
      <c r="J5" s="17">
        <f>B35*B44+C35*C44</f>
        <v>212.74220269230022</v>
      </c>
      <c r="K5" s="17"/>
      <c r="L5" s="17"/>
      <c r="M5" s="17"/>
      <c r="N5" s="17">
        <f>B34*B43+C34*C43</f>
        <v>13542.058667916244</v>
      </c>
      <c r="O5" s="17">
        <f>B52*B53*B54</f>
        <v>499.95747128553205</v>
      </c>
      <c r="P5" s="17">
        <f>B60*B61*B62/1000-B60*B61*B62/1000/B63</f>
        <v>495.09608746119602</v>
      </c>
    </row>
    <row r="6" spans="1:16">
      <c r="A6" s="16" t="s">
        <v>604</v>
      </c>
      <c r="B6" s="778">
        <f>kWh_PV_kleiner_dan_10kW</f>
        <v>3439.4325167843394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43235.436270784339</v>
      </c>
      <c r="C8" s="21">
        <f>C5</f>
        <v>0</v>
      </c>
      <c r="D8" s="21">
        <f>D5</f>
        <v>129272.70208096203</v>
      </c>
      <c r="E8" s="21">
        <f>E5</f>
        <v>3303.2444739880034</v>
      </c>
      <c r="F8" s="21">
        <f>F5</f>
        <v>53252.703505846614</v>
      </c>
      <c r="G8" s="21"/>
      <c r="H8" s="21"/>
      <c r="I8" s="21"/>
      <c r="J8" s="21">
        <f>J5</f>
        <v>212.74220269230022</v>
      </c>
      <c r="K8" s="21"/>
      <c r="L8" s="21">
        <f>L5</f>
        <v>0</v>
      </c>
      <c r="M8" s="21">
        <f>M5</f>
        <v>0</v>
      </c>
      <c r="N8" s="21">
        <f>N5</f>
        <v>13542.058667916244</v>
      </c>
      <c r="O8" s="21">
        <f>O5</f>
        <v>499.95747128553205</v>
      </c>
      <c r="P8" s="21">
        <f>P5</f>
        <v>495.09608746119602</v>
      </c>
    </row>
    <row r="9" spans="1:16">
      <c r="B9" s="19"/>
      <c r="C9" s="19"/>
      <c r="D9" s="256"/>
      <c r="E9" s="19"/>
      <c r="F9" s="19"/>
      <c r="G9" s="19"/>
      <c r="H9" s="19"/>
      <c r="I9" s="19"/>
      <c r="J9" s="19"/>
      <c r="K9" s="19"/>
      <c r="L9" s="19"/>
      <c r="M9" s="19"/>
      <c r="N9" s="19"/>
      <c r="O9" s="19"/>
      <c r="P9" s="19"/>
    </row>
    <row r="10" spans="1:16">
      <c r="A10" s="24" t="s">
        <v>213</v>
      </c>
      <c r="B10" s="25">
        <f ca="1">'EF ele_warmte'!B12</f>
        <v>0.21044448867146176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9098.6592784927816</v>
      </c>
      <c r="C12" s="23">
        <f ca="1">C10*C8</f>
        <v>0</v>
      </c>
      <c r="D12" s="23">
        <f>D8*D10</f>
        <v>26113.085820354332</v>
      </c>
      <c r="E12" s="23">
        <f>E10*E8</f>
        <v>749.8364955952768</v>
      </c>
      <c r="F12" s="23">
        <f>F10*F8</f>
        <v>14218.471836061046</v>
      </c>
      <c r="G12" s="23"/>
      <c r="H12" s="23"/>
      <c r="I12" s="23"/>
      <c r="J12" s="23">
        <f>J10*J8</f>
        <v>75.310739753074273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9835</v>
      </c>
      <c r="C26" s="36"/>
      <c r="D26" s="226"/>
    </row>
    <row r="27" spans="1:7" s="15" customFormat="1">
      <c r="A27" s="228" t="s">
        <v>806</v>
      </c>
      <c r="B27" s="37">
        <f>SUM(HH_hh_gas_aantal,HH_rest_gas_aantal)</f>
        <v>6272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5958.4</v>
      </c>
      <c r="C31" s="166" t="s">
        <v>110</v>
      </c>
      <c r="D31" s="231"/>
      <c r="G31" s="15"/>
    </row>
    <row r="32" spans="1:7">
      <c r="A32" s="169" t="s">
        <v>72</v>
      </c>
      <c r="B32" s="166">
        <f>IF((B21*($B$26-($B$27-0.05*$B$27)-$B$60))&lt;0,0,B21*($B$26-($B$27-0.05*$B$27)-$B$60))</f>
        <v>60.795660918292327</v>
      </c>
      <c r="C32" s="166" t="s">
        <v>110</v>
      </c>
      <c r="D32" s="231"/>
      <c r="G32" s="15"/>
    </row>
    <row r="33" spans="1:7">
      <c r="A33" s="169" t="s">
        <v>73</v>
      </c>
      <c r="B33" s="166">
        <f>IF((B22*($B$26-($B$27-0.05*$B$27)-$B$60))&lt;0,0,B22*($B$26-($B$27-0.05*$B$27)-$B$60))</f>
        <v>987.20112618504345</v>
      </c>
      <c r="C33" s="166" t="s">
        <v>110</v>
      </c>
      <c r="D33" s="231"/>
      <c r="G33" s="15"/>
    </row>
    <row r="34" spans="1:7">
      <c r="A34" s="169" t="s">
        <v>74</v>
      </c>
      <c r="B34" s="166">
        <f>IF((B24*($B$26-($B$27-0.05*$B$27)-$B$60))&lt;0,0,B24*($B$26-($B$27-0.05*$B$27)-$B$60))</f>
        <v>189.25966707329945</v>
      </c>
      <c r="C34" s="166">
        <f>B26*C24</f>
        <v>2015.249917997362</v>
      </c>
      <c r="D34" s="231"/>
      <c r="G34" s="15"/>
    </row>
    <row r="35" spans="1:7">
      <c r="A35" s="169" t="s">
        <v>76</v>
      </c>
      <c r="B35" s="166">
        <f>IF((B19*($B$26-($B$27-0.05*$B$27)-$B$60))&lt;0,0,B19*($B$26-($B$27-0.05*$B$27)-$B$60))</f>
        <v>26.427728860358812</v>
      </c>
      <c r="C35" s="166">
        <f>B35/2</f>
        <v>13.213864430179406</v>
      </c>
      <c r="D35" s="232"/>
      <c r="G35" s="15"/>
    </row>
    <row r="36" spans="1:7">
      <c r="A36" s="169" t="s">
        <v>77</v>
      </c>
      <c r="B36" s="166">
        <f>IF((B18*($B$26-($B$27-0.05*$B$27)-$B$60))&lt;0,0,B18*($B$26-($B$27-0.05*$B$27)-$B$60))</f>
        <v>2565.9158169630055</v>
      </c>
      <c r="C36" s="166" t="s">
        <v>110</v>
      </c>
      <c r="D36" s="232"/>
      <c r="G36" s="15"/>
    </row>
    <row r="37" spans="1:7">
      <c r="A37" s="169" t="s">
        <v>78</v>
      </c>
      <c r="B37" s="166">
        <f>B60</f>
        <v>47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252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28535.976314</v>
      </c>
      <c r="C5" s="17">
        <f>IF(ISERROR('Eigen informatie GS &amp; warmtenet'!B60),0,'Eigen informatie GS &amp; warmtenet'!B60)</f>
        <v>0</v>
      </c>
      <c r="D5" s="30">
        <f>SUM(D6:D12)</f>
        <v>40388.958796164006</v>
      </c>
      <c r="E5" s="17">
        <f>SUM(E6:E12)</f>
        <v>377.12003234268639</v>
      </c>
      <c r="F5" s="17">
        <f>SUM(F6:F12)</f>
        <v>3297.9266501793991</v>
      </c>
      <c r="G5" s="18"/>
      <c r="H5" s="17"/>
      <c r="I5" s="17"/>
      <c r="J5" s="17">
        <f>SUM(J6:J12)</f>
        <v>6.1205488620941995E-2</v>
      </c>
      <c r="K5" s="17"/>
      <c r="L5" s="17"/>
      <c r="M5" s="17"/>
      <c r="N5" s="17">
        <f>SUM(N6:N12)</f>
        <v>2408.1113838645433</v>
      </c>
      <c r="O5" s="17">
        <f>B38*B39*B40</f>
        <v>4.8972607658411542</v>
      </c>
      <c r="P5" s="17">
        <f>B46*B47*B48/1000-B46*B47*B48/1000/B49</f>
        <v>52.539138306495019</v>
      </c>
      <c r="R5" s="32"/>
    </row>
    <row r="6" spans="1:18">
      <c r="A6" s="32" t="s">
        <v>53</v>
      </c>
      <c r="B6" s="37">
        <f>B26</f>
        <v>8712.9628620000003</v>
      </c>
      <c r="C6" s="33"/>
      <c r="D6" s="37">
        <f>IF(ISERROR(TER_kantoor_gas_kWh/1000),0,TER_kantoor_gas_kWh/1000)*0.902</f>
        <v>11128.386123800001</v>
      </c>
      <c r="E6" s="33">
        <f>$C$26*'E Balans VL '!I12/100/3.6*1000000</f>
        <v>70.110418554534263</v>
      </c>
      <c r="F6" s="33">
        <f>$C$26*('E Balans VL '!L12+'E Balans VL '!N12)/100/3.6*1000000</f>
        <v>1065.2513673143351</v>
      </c>
      <c r="G6" s="34"/>
      <c r="H6" s="33"/>
      <c r="I6" s="33"/>
      <c r="J6" s="33">
        <f>$C$26*('E Balans VL '!D12+'E Balans VL '!E12)/100/3.6*1000000</f>
        <v>0</v>
      </c>
      <c r="K6" s="33"/>
      <c r="L6" s="33"/>
      <c r="M6" s="33"/>
      <c r="N6" s="33">
        <f>$C$26*'E Balans VL '!Y12/100/3.6*1000000</f>
        <v>4.6827884713438959</v>
      </c>
      <c r="O6" s="33"/>
      <c r="P6" s="33"/>
      <c r="R6" s="32"/>
    </row>
    <row r="7" spans="1:18">
      <c r="A7" s="32" t="s">
        <v>52</v>
      </c>
      <c r="B7" s="37">
        <f t="shared" ref="B7:B12" si="0">B27</f>
        <v>3333.1810529999998</v>
      </c>
      <c r="C7" s="33"/>
      <c r="D7" s="37">
        <f>IF(ISERROR(TER_horeca_gas_kWh/1000),0,TER_horeca_gas_kWh/1000)*0.902</f>
        <v>4368.0698877859995</v>
      </c>
      <c r="E7" s="33">
        <f>$C$27*'E Balans VL '!I9/100/3.6*1000000</f>
        <v>35.790179647499016</v>
      </c>
      <c r="F7" s="33">
        <f>$C$27*('E Balans VL '!L9+'E Balans VL '!N9)/100/3.6*1000000</f>
        <v>400.90085539281415</v>
      </c>
      <c r="G7" s="34"/>
      <c r="H7" s="33"/>
      <c r="I7" s="33"/>
      <c r="J7" s="33">
        <f>$C$27*('E Balans VL '!D9+'E Balans VL '!E9)/100/3.6*1000000</f>
        <v>0</v>
      </c>
      <c r="K7" s="33"/>
      <c r="L7" s="33"/>
      <c r="M7" s="33"/>
      <c r="N7" s="33">
        <f>$C$27*'E Balans VL '!Y9/100/3.6*1000000</f>
        <v>0.49971139558152222</v>
      </c>
      <c r="O7" s="33"/>
      <c r="P7" s="33"/>
      <c r="R7" s="32"/>
    </row>
    <row r="8" spans="1:18">
      <c r="A8" s="6" t="s">
        <v>51</v>
      </c>
      <c r="B8" s="37">
        <f t="shared" si="0"/>
        <v>7594.9996380000002</v>
      </c>
      <c r="C8" s="33"/>
      <c r="D8" s="37">
        <f>IF(ISERROR(TER_handel_gas_kWh/1000),0,TER_handel_gas_kWh/1000)*0.902</f>
        <v>6420.8487425720004</v>
      </c>
      <c r="E8" s="33">
        <f>$C$28*'E Balans VL '!I13/100/3.6*1000000</f>
        <v>203.8265384180898</v>
      </c>
      <c r="F8" s="33">
        <f>$C$28*('E Balans VL '!L13+'E Balans VL '!N13)/100/3.6*1000000</f>
        <v>724.79704938983946</v>
      </c>
      <c r="G8" s="34"/>
      <c r="H8" s="33"/>
      <c r="I8" s="33"/>
      <c r="J8" s="33">
        <f>$C$28*('E Balans VL '!D13+'E Balans VL '!E13)/100/3.6*1000000</f>
        <v>0</v>
      </c>
      <c r="K8" s="33"/>
      <c r="L8" s="33"/>
      <c r="M8" s="33"/>
      <c r="N8" s="33">
        <f>$C$28*'E Balans VL '!Y13/100/3.6*1000000</f>
        <v>3.0107442145768095</v>
      </c>
      <c r="O8" s="33"/>
      <c r="P8" s="33"/>
      <c r="R8" s="32"/>
    </row>
    <row r="9" spans="1:18">
      <c r="A9" s="32" t="s">
        <v>50</v>
      </c>
      <c r="B9" s="37">
        <f t="shared" si="0"/>
        <v>1267.092523</v>
      </c>
      <c r="C9" s="33"/>
      <c r="D9" s="37">
        <f>IF(ISERROR(TER_gezond_gas_kWh/1000),0,TER_gezond_gas_kWh/1000)*0.902</f>
        <v>3775.4379073180007</v>
      </c>
      <c r="E9" s="33">
        <f>$C$29*'E Balans VL '!I10/100/3.6*1000000</f>
        <v>2.3749439713434208</v>
      </c>
      <c r="F9" s="33">
        <f>$C$29*('E Balans VL '!L10+'E Balans VL '!N10)/100/3.6*1000000</f>
        <v>104.16656671903372</v>
      </c>
      <c r="G9" s="34"/>
      <c r="H9" s="33"/>
      <c r="I9" s="33"/>
      <c r="J9" s="33">
        <f>$C$29*('E Balans VL '!D10+'E Balans VL '!E10)/100/3.6*1000000</f>
        <v>0</v>
      </c>
      <c r="K9" s="33"/>
      <c r="L9" s="33"/>
      <c r="M9" s="33"/>
      <c r="N9" s="33">
        <f>$C$29*'E Balans VL '!Y10/100/3.6*1000000</f>
        <v>9.8589252158019196</v>
      </c>
      <c r="O9" s="33"/>
      <c r="P9" s="33"/>
      <c r="R9" s="32"/>
    </row>
    <row r="10" spans="1:18">
      <c r="A10" s="32" t="s">
        <v>49</v>
      </c>
      <c r="B10" s="37">
        <f t="shared" si="0"/>
        <v>3113.1547420000002</v>
      </c>
      <c r="C10" s="33"/>
      <c r="D10" s="37">
        <f>IF(ISERROR(TER_ander_gas_kWh/1000),0,TER_ander_gas_kWh/1000)*0.902</f>
        <v>7920.3682876120001</v>
      </c>
      <c r="E10" s="33">
        <f>$C$30*'E Balans VL '!I14/100/3.6*1000000</f>
        <v>4.7989595799025873</v>
      </c>
      <c r="F10" s="33">
        <f>$C$30*('E Balans VL '!L14+'E Balans VL '!N14)/100/3.6*1000000</f>
        <v>483.31813312911714</v>
      </c>
      <c r="G10" s="34"/>
      <c r="H10" s="33"/>
      <c r="I10" s="33"/>
      <c r="J10" s="33">
        <f>$C$30*('E Balans VL '!D14+'E Balans VL '!E14)/100/3.6*1000000</f>
        <v>5.2849084955646622E-2</v>
      </c>
      <c r="K10" s="33"/>
      <c r="L10" s="33"/>
      <c r="M10" s="33"/>
      <c r="N10" s="33">
        <f>$C$30*'E Balans VL '!Y14/100/3.6*1000000</f>
        <v>2059.5634014466737</v>
      </c>
      <c r="O10" s="33"/>
      <c r="P10" s="33"/>
      <c r="R10" s="32"/>
    </row>
    <row r="11" spans="1:18">
      <c r="A11" s="32" t="s">
        <v>54</v>
      </c>
      <c r="B11" s="37">
        <f t="shared" si="0"/>
        <v>154.223187</v>
      </c>
      <c r="C11" s="33"/>
      <c r="D11" s="37">
        <f>IF(ISERROR(TER_onderwijs_gas_kWh/1000),0,TER_onderwijs_gas_kWh/1000)*0.902</f>
        <v>579.81372521600008</v>
      </c>
      <c r="E11" s="33">
        <f>$C$31*'E Balans VL '!I11/100/3.6*1000000</f>
        <v>3.9337446215705412</v>
      </c>
      <c r="F11" s="33">
        <f>$C$31*('E Balans VL '!L11+'E Balans VL '!N11)/100/3.6*1000000</f>
        <v>18.546789840665056</v>
      </c>
      <c r="G11" s="34"/>
      <c r="H11" s="33"/>
      <c r="I11" s="33"/>
      <c r="J11" s="33">
        <f>$C$31*('E Balans VL '!D11+'E Balans VL '!E11)/100/3.6*1000000</f>
        <v>0</v>
      </c>
      <c r="K11" s="33"/>
      <c r="L11" s="33"/>
      <c r="M11" s="33"/>
      <c r="N11" s="33">
        <f>$C$31*'E Balans VL '!Y11/100/3.6*1000000</f>
        <v>0.34298860480981197</v>
      </c>
      <c r="O11" s="33"/>
      <c r="P11" s="33"/>
      <c r="R11" s="32"/>
    </row>
    <row r="12" spans="1:18">
      <c r="A12" s="32" t="s">
        <v>254</v>
      </c>
      <c r="B12" s="37">
        <f t="shared" si="0"/>
        <v>4360.3623090000001</v>
      </c>
      <c r="C12" s="33"/>
      <c r="D12" s="37">
        <f>IF(ISERROR(TER_rest_gas_kWh/1000),0,TER_rest_gas_kWh/1000)*0.902</f>
        <v>6196.0341218599997</v>
      </c>
      <c r="E12" s="33">
        <f>$C$32*'E Balans VL '!I8/100/3.6*1000000</f>
        <v>56.285247549746693</v>
      </c>
      <c r="F12" s="33">
        <f>$C$32*('E Balans VL '!L8+'E Balans VL '!N8)/100/3.6*1000000</f>
        <v>500.94588839359494</v>
      </c>
      <c r="G12" s="34"/>
      <c r="H12" s="33"/>
      <c r="I12" s="33"/>
      <c r="J12" s="33">
        <f>$C$32*('E Balans VL '!D8+'E Balans VL '!E8)/100/3.6*1000000</f>
        <v>8.3564036652953727E-3</v>
      </c>
      <c r="K12" s="33"/>
      <c r="L12" s="33"/>
      <c r="M12" s="33"/>
      <c r="N12" s="33">
        <f>$C$32*'E Balans VL '!Y8/100/3.6*1000000</f>
        <v>330.15282451575581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28535.976314</v>
      </c>
      <c r="C16" s="21">
        <f t="shared" ca="1" si="1"/>
        <v>0</v>
      </c>
      <c r="D16" s="21">
        <f t="shared" ca="1" si="1"/>
        <v>40388.958796164006</v>
      </c>
      <c r="E16" s="21">
        <f t="shared" si="1"/>
        <v>377.12003234268639</v>
      </c>
      <c r="F16" s="21">
        <f t="shared" ca="1" si="1"/>
        <v>3297.9266501793991</v>
      </c>
      <c r="G16" s="21">
        <f t="shared" si="1"/>
        <v>0</v>
      </c>
      <c r="H16" s="21">
        <f t="shared" si="1"/>
        <v>0</v>
      </c>
      <c r="I16" s="21">
        <f t="shared" si="1"/>
        <v>0</v>
      </c>
      <c r="J16" s="21">
        <f t="shared" si="1"/>
        <v>6.1205488620941995E-2</v>
      </c>
      <c r="K16" s="21">
        <f t="shared" si="1"/>
        <v>0</v>
      </c>
      <c r="L16" s="21">
        <f t="shared" ca="1" si="1"/>
        <v>0</v>
      </c>
      <c r="M16" s="21">
        <f t="shared" si="1"/>
        <v>0</v>
      </c>
      <c r="N16" s="21">
        <f t="shared" ca="1" si="1"/>
        <v>2408.1113838645433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0.21044448867146176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6005.238944140674</v>
      </c>
      <c r="C20" s="23">
        <f t="shared" ref="C20:P20" ca="1" si="2">C16*C18</f>
        <v>0</v>
      </c>
      <c r="D20" s="23">
        <f t="shared" ca="1" si="2"/>
        <v>8158.56967682513</v>
      </c>
      <c r="E20" s="23">
        <f t="shared" si="2"/>
        <v>85.60624734178981</v>
      </c>
      <c r="F20" s="23">
        <f t="shared" ca="1" si="2"/>
        <v>880.54641559789957</v>
      </c>
      <c r="G20" s="23">
        <f t="shared" si="2"/>
        <v>0</v>
      </c>
      <c r="H20" s="23">
        <f t="shared" si="2"/>
        <v>0</v>
      </c>
      <c r="I20" s="23">
        <f t="shared" si="2"/>
        <v>0</v>
      </c>
      <c r="J20" s="23">
        <f t="shared" si="2"/>
        <v>2.1666742971813466E-2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8712.9628620000003</v>
      </c>
      <c r="C26" s="39">
        <f>IF(ISERROR(B26*3.6/1000000/'E Balans VL '!Z12*100),0,B26*3.6/1000000/'E Balans VL '!Z12*100)</f>
        <v>0.18483753567170161</v>
      </c>
      <c r="D26" s="235" t="s">
        <v>698</v>
      </c>
      <c r="F26" s="6"/>
    </row>
    <row r="27" spans="1:18">
      <c r="A27" s="229" t="s">
        <v>52</v>
      </c>
      <c r="B27" s="33">
        <f>IF(ISERROR(TER_horeca_ele_kWh/1000),0,TER_horeca_ele_kWh/1000)</f>
        <v>3333.1810529999998</v>
      </c>
      <c r="C27" s="39">
        <f>IF(ISERROR(B27*3.6/1000000/'E Balans VL '!Z9*100),0,B27*3.6/1000000/'E Balans VL '!Z9*100)</f>
        <v>0.2510180602971156</v>
      </c>
      <c r="D27" s="235" t="s">
        <v>698</v>
      </c>
      <c r="F27" s="6"/>
    </row>
    <row r="28" spans="1:18">
      <c r="A28" s="169" t="s">
        <v>51</v>
      </c>
      <c r="B28" s="33">
        <f>IF(ISERROR(TER_handel_ele_kWh/1000),0,TER_handel_ele_kWh/1000)</f>
        <v>7594.9996380000002</v>
      </c>
      <c r="C28" s="39">
        <f>IF(ISERROR(B28*3.6/1000000/'E Balans VL '!Z13*100),0,B28*3.6/1000000/'E Balans VL '!Z13*100)</f>
        <v>0.2204559283077635</v>
      </c>
      <c r="D28" s="235" t="s">
        <v>698</v>
      </c>
      <c r="F28" s="6"/>
    </row>
    <row r="29" spans="1:18">
      <c r="A29" s="229" t="s">
        <v>50</v>
      </c>
      <c r="B29" s="33">
        <f>IF(ISERROR(TER_gezond_ele_kWh/1000),0,TER_gezond_ele_kWh/1000)</f>
        <v>1267.092523</v>
      </c>
      <c r="C29" s="39">
        <f>IF(ISERROR(B29*3.6/1000000/'E Balans VL '!Z10*100),0,B29*3.6/1000000/'E Balans VL '!Z10*100)</f>
        <v>0.12778779201392823</v>
      </c>
      <c r="D29" s="235" t="s">
        <v>698</v>
      </c>
      <c r="F29" s="6"/>
    </row>
    <row r="30" spans="1:18">
      <c r="A30" s="229" t="s">
        <v>49</v>
      </c>
      <c r="B30" s="33">
        <f>IF(ISERROR(TER_ander_ele_kWh/1000),0,TER_ander_ele_kWh/1000)</f>
        <v>3113.1547420000002</v>
      </c>
      <c r="C30" s="39">
        <f>IF(ISERROR(B30*3.6/1000000/'E Balans VL '!Z14*100),0,B30*3.6/1000000/'E Balans VL '!Z14*100)</f>
        <v>0.22590184775009461</v>
      </c>
      <c r="D30" s="235" t="s">
        <v>698</v>
      </c>
      <c r="F30" s="6"/>
    </row>
    <row r="31" spans="1:18">
      <c r="A31" s="229" t="s">
        <v>54</v>
      </c>
      <c r="B31" s="33">
        <f>IF(ISERROR(TER_onderwijs_ele_kWh/1000),0,TER_onderwijs_ele_kWh/1000)</f>
        <v>154.223187</v>
      </c>
      <c r="C31" s="39">
        <f>IF(ISERROR(B31*3.6/1000000/'E Balans VL '!Z11*100),0,B31*3.6/1000000/'E Balans VL '!Z11*100)</f>
        <v>4.3959888555606348E-2</v>
      </c>
      <c r="D31" s="235" t="s">
        <v>698</v>
      </c>
    </row>
    <row r="32" spans="1:18">
      <c r="A32" s="229" t="s">
        <v>254</v>
      </c>
      <c r="B32" s="33">
        <f>IF(ISERROR(TER_rest_ele_kWh/1000),0,TER_rest_ele_kWh/1000)</f>
        <v>4360.3623090000001</v>
      </c>
      <c r="C32" s="39">
        <f>IF(ISERROR(B32*3.6/1000000/'E Balans VL '!Z8*100),0,B32*3.6/1000000/'E Balans VL '!Z8*100)</f>
        <v>3.5719199871107603E-2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2537.3478610000002</v>
      </c>
      <c r="C5" s="17">
        <f>IF(ISERROR('Eigen informatie GS &amp; warmtenet'!B61),0,'Eigen informatie GS &amp; warmtenet'!B61)</f>
        <v>0</v>
      </c>
      <c r="D5" s="30">
        <f>SUM(D6:D15)</f>
        <v>2580.6480154840001</v>
      </c>
      <c r="E5" s="17">
        <f>SUM(E6:E15)</f>
        <v>341.05770842258073</v>
      </c>
      <c r="F5" s="17">
        <f>SUM(F6:F15)</f>
        <v>1068.3803818012345</v>
      </c>
      <c r="G5" s="18"/>
      <c r="H5" s="17"/>
      <c r="I5" s="17"/>
      <c r="J5" s="17">
        <f>SUM(J6:J15)</f>
        <v>45.061365863522326</v>
      </c>
      <c r="K5" s="17"/>
      <c r="L5" s="17"/>
      <c r="M5" s="17"/>
      <c r="N5" s="17">
        <f>SUM(N6:N15)</f>
        <v>129.65616859233603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86.688999999999993</v>
      </c>
      <c r="C8" s="33"/>
      <c r="D8" s="37">
        <f>IF( ISERROR(IND_metaal_Gas_kWH/1000),0,IND_metaal_Gas_kWH/1000)*0.902</f>
        <v>0</v>
      </c>
      <c r="E8" s="33">
        <f>C30*'E Balans VL '!I18/100/3.6*1000000</f>
        <v>0.62540029097334371</v>
      </c>
      <c r="F8" s="33">
        <f>C30*'E Balans VL '!L18/100/3.6*1000000+C30*'E Balans VL '!N18/100/3.6*1000000</f>
        <v>8.1991809668105837</v>
      </c>
      <c r="G8" s="34"/>
      <c r="H8" s="33"/>
      <c r="I8" s="33"/>
      <c r="J8" s="40">
        <f>C30*'E Balans VL '!D18/100/3.6*1000000+C30*'E Balans VL '!E18/100/3.6*1000000</f>
        <v>8.719229996695356E-2</v>
      </c>
      <c r="K8" s="33"/>
      <c r="L8" s="33"/>
      <c r="M8" s="33"/>
      <c r="N8" s="33">
        <f>C30*'E Balans VL '!Y18/100/3.6*1000000</f>
        <v>1.0959783164504515</v>
      </c>
      <c r="O8" s="33"/>
      <c r="P8" s="33"/>
      <c r="R8" s="32"/>
    </row>
    <row r="9" spans="1:18">
      <c r="A9" s="6" t="s">
        <v>32</v>
      </c>
      <c r="B9" s="37">
        <f t="shared" si="0"/>
        <v>1146.0174320000001</v>
      </c>
      <c r="C9" s="33"/>
      <c r="D9" s="37">
        <f>IF( ISERROR(IND_andere_gas_kWh/1000),0,IND_andere_gas_kWh/1000)*0.902</f>
        <v>1573.0209759879999</v>
      </c>
      <c r="E9" s="33">
        <f>C31*'E Balans VL '!I19/100/3.6*1000000</f>
        <v>317.57675458011244</v>
      </c>
      <c r="F9" s="33">
        <f>C31*'E Balans VL '!L19/100/3.6*1000000+C31*'E Balans VL '!N19/100/3.6*1000000</f>
        <v>949.82172420435757</v>
      </c>
      <c r="G9" s="34"/>
      <c r="H9" s="33"/>
      <c r="I9" s="33"/>
      <c r="J9" s="40">
        <f>C31*'E Balans VL '!D19/100/3.6*1000000+C31*'E Balans VL '!E19/100/3.6*1000000</f>
        <v>0</v>
      </c>
      <c r="K9" s="33"/>
      <c r="L9" s="33"/>
      <c r="M9" s="33"/>
      <c r="N9" s="33">
        <f>C31*'E Balans VL '!Y19/100/3.6*1000000</f>
        <v>83.186848252516953</v>
      </c>
      <c r="O9" s="33"/>
      <c r="P9" s="33"/>
      <c r="R9" s="32"/>
    </row>
    <row r="10" spans="1:18">
      <c r="A10" s="6" t="s">
        <v>40</v>
      </c>
      <c r="B10" s="37">
        <f t="shared" si="0"/>
        <v>473.72393699999998</v>
      </c>
      <c r="C10" s="33"/>
      <c r="D10" s="37">
        <f>IF( ISERROR(IND_voed_gas_kWh/1000),0,IND_voed_gas_kWh/1000)*0.902</f>
        <v>305.15678267800001</v>
      </c>
      <c r="E10" s="33">
        <f>C32*'E Balans VL '!I20/100/3.6*1000000</f>
        <v>0.83865182907504943</v>
      </c>
      <c r="F10" s="33">
        <f>C32*'E Balans VL '!L20/100/3.6*1000000+C32*'E Balans VL '!N20/100/3.6*1000000</f>
        <v>25.58529117559177</v>
      </c>
      <c r="G10" s="34"/>
      <c r="H10" s="33"/>
      <c r="I10" s="33"/>
      <c r="J10" s="40">
        <f>C32*'E Balans VL '!D20/100/3.6*1000000+C32*'E Balans VL '!E20/100/3.6*1000000</f>
        <v>0</v>
      </c>
      <c r="K10" s="33"/>
      <c r="L10" s="33"/>
      <c r="M10" s="33"/>
      <c r="N10" s="33">
        <f>C32*'E Balans VL '!Y20/100/3.6*1000000</f>
        <v>27.526978614488797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376.78595100000001</v>
      </c>
      <c r="C13" s="33"/>
      <c r="D13" s="37">
        <f>IF( ISERROR(IND_papier_gas_kWh/1000),0,IND_papier_gas_kWh/1000)*0.902</f>
        <v>103.751415284</v>
      </c>
      <c r="E13" s="33">
        <f>C35*'E Balans VL '!I23/100/3.6*1000000</f>
        <v>0.55438151474720043</v>
      </c>
      <c r="F13" s="33">
        <f>C35*'E Balans VL '!L23/100/3.6*1000000+C35*'E Balans VL '!N23/100/3.6*1000000</f>
        <v>4.0343626726324819</v>
      </c>
      <c r="G13" s="34"/>
      <c r="H13" s="33"/>
      <c r="I13" s="33"/>
      <c r="J13" s="40">
        <f>C35*'E Balans VL '!D23/100/3.6*1000000+C35*'E Balans VL '!E23/100/3.6*1000000</f>
        <v>41.222495944446671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454.13154100000003</v>
      </c>
      <c r="C15" s="33"/>
      <c r="D15" s="37">
        <f>IF( ISERROR(IND_rest_gas_kWh/1000),0,IND_rest_gas_kWh/1000)*0.902</f>
        <v>598.71884153400003</v>
      </c>
      <c r="E15" s="33">
        <f>C37*'E Balans VL '!I15/100/3.6*1000000</f>
        <v>21.462520207672711</v>
      </c>
      <c r="F15" s="33">
        <f>C37*'E Balans VL '!L15/100/3.6*1000000+C37*'E Balans VL '!N15/100/3.6*1000000</f>
        <v>80.739822781842136</v>
      </c>
      <c r="G15" s="34"/>
      <c r="H15" s="33"/>
      <c r="I15" s="33"/>
      <c r="J15" s="40">
        <f>C37*'E Balans VL '!D15/100/3.6*1000000+C37*'E Balans VL '!E15/100/3.6*1000000</f>
        <v>3.7516776191087025</v>
      </c>
      <c r="K15" s="33"/>
      <c r="L15" s="33"/>
      <c r="M15" s="33"/>
      <c r="N15" s="33">
        <f>C37*'E Balans VL '!Y15/100/3.6*1000000</f>
        <v>17.846363408879814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2537.3478610000002</v>
      </c>
      <c r="C18" s="21">
        <f>C5+C16</f>
        <v>0</v>
      </c>
      <c r="D18" s="21">
        <f>MAX((D5+D16),0)</f>
        <v>2580.6480154840001</v>
      </c>
      <c r="E18" s="21">
        <f>MAX((E5+E16),0)</f>
        <v>341.05770842258073</v>
      </c>
      <c r="F18" s="21">
        <f>MAX((F5+F16),0)</f>
        <v>1068.3803818012345</v>
      </c>
      <c r="G18" s="21"/>
      <c r="H18" s="21"/>
      <c r="I18" s="21"/>
      <c r="J18" s="21">
        <f>MAX((J5+J16),0)</f>
        <v>45.061365863522326</v>
      </c>
      <c r="K18" s="21"/>
      <c r="L18" s="21">
        <f>MAX((L5+L16),0)</f>
        <v>0</v>
      </c>
      <c r="M18" s="21"/>
      <c r="N18" s="21">
        <f>MAX((N5+N16),0)</f>
        <v>129.65616859233603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0.21044448867146176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533.97087318977231</v>
      </c>
      <c r="C22" s="23">
        <f ca="1">C18*C20</f>
        <v>0</v>
      </c>
      <c r="D22" s="23">
        <f>D18*D20</f>
        <v>521.29089912776806</v>
      </c>
      <c r="E22" s="23">
        <f>E18*E20</f>
        <v>77.420099811925823</v>
      </c>
      <c r="F22" s="23">
        <f>F18*F20</f>
        <v>285.25756194092963</v>
      </c>
      <c r="G22" s="23"/>
      <c r="H22" s="23"/>
      <c r="I22" s="23"/>
      <c r="J22" s="23">
        <f>J18*J20</f>
        <v>15.951723515686902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86.688999999999993</v>
      </c>
      <c r="C30" s="39">
        <f>IF(ISERROR(B30*3.6/1000000/'E Balans VL '!Z18*100),0,B30*3.6/1000000/'E Balans VL '!Z18*100)</f>
        <v>5.0044207050210258E-3</v>
      </c>
      <c r="D30" s="235" t="s">
        <v>698</v>
      </c>
    </row>
    <row r="31" spans="1:18">
      <c r="A31" s="6" t="s">
        <v>32</v>
      </c>
      <c r="B31" s="37">
        <f>IF( ISERROR(IND_ander_ele_kWh/1000),0,IND_ander_ele_kWh/1000)</f>
        <v>1146.0174320000001</v>
      </c>
      <c r="C31" s="39">
        <f>IF(ISERROR(B31*3.6/1000000/'E Balans VL '!Z19*100),0,B31*3.6/1000000/'E Balans VL '!Z19*100)</f>
        <v>5.7640962157929895E-2</v>
      </c>
      <c r="D31" s="235" t="s">
        <v>698</v>
      </c>
    </row>
    <row r="32" spans="1:18">
      <c r="A32" s="169" t="s">
        <v>40</v>
      </c>
      <c r="B32" s="37">
        <f>IF( ISERROR(IND_voed_ele_kWh/1000),0,IND_voed_ele_kWh/1000)</f>
        <v>473.72393699999998</v>
      </c>
      <c r="C32" s="39">
        <f>IF(ISERROR(B32*3.6/1000000/'E Balans VL '!Z20*100),0,B32*3.6/1000000/'E Balans VL '!Z20*100)</f>
        <v>1.5777820192361881E-2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376.78595100000001</v>
      </c>
      <c r="C35" s="39">
        <f>IF(ISERROR(B35*3.6/1000000/'E Balans VL '!Z22*100),0,B35*3.6/1000000/'E Balans VL '!Z22*100)</f>
        <v>7.0283306318773206E-2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454.13154100000003</v>
      </c>
      <c r="C37" s="39">
        <f>IF(ISERROR(B37*3.6/1000000/'E Balans VL '!Z15*100),0,B37*3.6/1000000/'E Balans VL '!Z15*100)</f>
        <v>3.5434679020777938E-3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493.14509399999997</v>
      </c>
      <c r="C5" s="17">
        <f>'Eigen informatie GS &amp; warmtenet'!B62</f>
        <v>0</v>
      </c>
      <c r="D5" s="30">
        <f>IF(ISERROR(SUM(LB_lb_gas_kWh,LB_rest_gas_kWh)/1000),0,SUM(LB_lb_gas_kWh,LB_rest_gas_kWh)/1000)*0.902</f>
        <v>1367.9265449520001</v>
      </c>
      <c r="E5" s="17">
        <f>B17*'E Balans VL '!I25/3.6*1000000/100</f>
        <v>15.390895764549986</v>
      </c>
      <c r="F5" s="17">
        <f>B17*('E Balans VL '!L25/3.6*1000000+'E Balans VL '!N25/3.6*1000000)/100</f>
        <v>1742.829391335838</v>
      </c>
      <c r="G5" s="18"/>
      <c r="H5" s="17"/>
      <c r="I5" s="17"/>
      <c r="J5" s="17">
        <f>('E Balans VL '!D25+'E Balans VL '!E25)/3.6*1000000*landbouw!B17/100</f>
        <v>135.86489332825485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493.14509399999997</v>
      </c>
      <c r="C8" s="21">
        <f>C5+C6</f>
        <v>0</v>
      </c>
      <c r="D8" s="21">
        <f>MAX((D5+D6),0)</f>
        <v>1367.9265449520001</v>
      </c>
      <c r="E8" s="21">
        <f>MAX((E5+E6),0)</f>
        <v>15.390895764549986</v>
      </c>
      <c r="F8" s="21">
        <f>MAX((F5+F6),0)</f>
        <v>1742.829391335838</v>
      </c>
      <c r="G8" s="21"/>
      <c r="H8" s="21"/>
      <c r="I8" s="21"/>
      <c r="J8" s="21">
        <f>MAX((J5+J6),0)</f>
        <v>135.86489332825485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0.21044448867146176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103.77966714766994</v>
      </c>
      <c r="C12" s="23">
        <f ca="1">C8*C10</f>
        <v>0</v>
      </c>
      <c r="D12" s="23">
        <f>D8*D10</f>
        <v>276.32116208030402</v>
      </c>
      <c r="E12" s="23">
        <f>E8*E10</f>
        <v>3.4937333385528468</v>
      </c>
      <c r="F12" s="23">
        <f>F8*F10</f>
        <v>465.33544748666878</v>
      </c>
      <c r="G12" s="23"/>
      <c r="H12" s="23"/>
      <c r="I12" s="23"/>
      <c r="J12" s="23">
        <f>J8*J10</f>
        <v>48.096172238202215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7.3309553421995535E-2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36.326139408993626</v>
      </c>
      <c r="C26" s="245">
        <f>B26*'GWP N2O_CH4'!B5</f>
        <v>762.8489275888661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5.0871681377190798</v>
      </c>
      <c r="C27" s="245">
        <f>B27*'GWP N2O_CH4'!B5</f>
        <v>106.83053089210068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0.46565084684700048</v>
      </c>
      <c r="C28" s="245">
        <f>B28*'GWP N2O_CH4'!B4</f>
        <v>144.35176252257014</v>
      </c>
      <c r="D28" s="50"/>
    </row>
    <row r="29" spans="1:4">
      <c r="A29" s="41" t="s">
        <v>271</v>
      </c>
      <c r="B29" s="245">
        <f>B34*'ha_N2O bodem landbouw'!B4</f>
        <v>10.584011033058989</v>
      </c>
      <c r="C29" s="245">
        <f>B29*'GWP N2O_CH4'!B4</f>
        <v>3281.0434202482866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2.3208830587159112E-3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1.3912354522441898E-3</v>
      </c>
      <c r="C5" s="433" t="s">
        <v>210</v>
      </c>
      <c r="D5" s="418">
        <f>SUM(D6:D11)</f>
        <v>2.1563143133222578E-3</v>
      </c>
      <c r="E5" s="418">
        <f>SUM(E6:E11)</f>
        <v>2.1020111175007366E-3</v>
      </c>
      <c r="F5" s="431" t="s">
        <v>210</v>
      </c>
      <c r="G5" s="418">
        <f>SUM(G6:G11)</f>
        <v>0.79893335318485281</v>
      </c>
      <c r="H5" s="418">
        <f>SUM(H6:H11)</f>
        <v>0.19664293799857854</v>
      </c>
      <c r="I5" s="433" t="s">
        <v>210</v>
      </c>
      <c r="J5" s="433" t="s">
        <v>210</v>
      </c>
      <c r="K5" s="433" t="s">
        <v>210</v>
      </c>
      <c r="L5" s="433" t="s">
        <v>210</v>
      </c>
      <c r="M5" s="418">
        <f>SUM(M6:M11)</f>
        <v>5.9071757538813906E-2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2.8733812285576218E-4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4.8505469086261604E-4</v>
      </c>
      <c r="E6" s="884">
        <f>vkm_GW_PW*SUMIFS(TableVerdeelsleutelVkm[LPG],TableVerdeelsleutelVkm[Voertuigtype],"Lichte voertuigen")*SUMIFS(TableECFTransport[EnergieConsumptieFactor (PJ per km)],TableECFTransport[Index],CONCATENATE($A6,"_LPG_LPG"))</f>
        <v>4.2504005283581532E-4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0.13277425749889865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4.3266960611943982E-2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1.0518083156573682E-2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7.8111662122410562E-7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2.9813037092278328E-2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4.1441077284889002E-7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1.7184944103368766E-3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2.1414423388804599E-4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4.6158526885887834E-4</v>
      </c>
      <c r="E8" s="421">
        <f>vkm_NGW_PW*SUMIFS(TableVerdeelsleutelVkm[LPG],TableVerdeelsleutelVkm[Voertuigtype],"Lichte voertuigen")*SUMIFS(TableECFTransport[EnergieConsumptieFactor (PJ per km)],TableECFTransport[Index],CONCATENATE($A8,"_LPG_LPG"))</f>
        <v>3.8746016462545661E-4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0.11182568802529992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4.0576612549700054E-2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9.1324443843531083E-3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2.4380347872550512E-7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1.1962678575782848E-2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1.5612465862419243E-7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6.8955659046519889E-4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8.8470956045288334E-4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1.2096743536007635E-3</v>
      </c>
      <c r="E10" s="421">
        <f>vkm_SW_PW*SUMIFS(TableVerdeelsleutelVkm[LPG],TableVerdeelsleutelVkm[Voertuigtype],"Lichte voertuigen")*SUMIFS(TableECFTransport[EnergieConsumptieFactor (PJ per km)],TableECFTransport[Index],CONCATENATE($A10,"_LPG_LPG"))</f>
        <v>1.2895109000394646E-3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0.36708464295521098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0.11279659987018806</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2.8627754828940963E-2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4.0186149475487792E-6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0.14547304903738215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2.1944313149725183E-6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8.3854241681440775E-3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386.45429229005271</v>
      </c>
      <c r="C14" s="21"/>
      <c r="D14" s="21">
        <f t="shared" ref="D14:M14" si="0">((D5)*10^9/3600)+D12</f>
        <v>598.97619814507163</v>
      </c>
      <c r="E14" s="21">
        <f t="shared" si="0"/>
        <v>583.89197708353788</v>
      </c>
      <c r="F14" s="21"/>
      <c r="G14" s="21">
        <f t="shared" si="0"/>
        <v>221925.93144023689</v>
      </c>
      <c r="H14" s="21">
        <f t="shared" si="0"/>
        <v>54623.038332938486</v>
      </c>
      <c r="I14" s="21"/>
      <c r="J14" s="21"/>
      <c r="K14" s="21"/>
      <c r="L14" s="21"/>
      <c r="M14" s="21">
        <f t="shared" si="0"/>
        <v>16408.821538559419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0.21044448867146176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81.327175935871765</v>
      </c>
      <c r="C18" s="23"/>
      <c r="D18" s="23">
        <f t="shared" ref="D18:M18" si="1">D14*D16</f>
        <v>120.99319202530448</v>
      </c>
      <c r="E18" s="23">
        <f t="shared" si="1"/>
        <v>132.5434787979631</v>
      </c>
      <c r="F18" s="23"/>
      <c r="G18" s="23">
        <f t="shared" si="1"/>
        <v>59254.223694543252</v>
      </c>
      <c r="H18" s="23">
        <f t="shared" si="1"/>
        <v>13601.136544901683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1.9231410948219592E-4</v>
      </c>
      <c r="C50" s="315">
        <f t="shared" ref="C50:P50" si="2">SUM(C51:C52)</f>
        <v>0</v>
      </c>
      <c r="D50" s="315">
        <f t="shared" si="2"/>
        <v>0</v>
      </c>
      <c r="E50" s="315">
        <f t="shared" si="2"/>
        <v>0</v>
      </c>
      <c r="F50" s="315">
        <f t="shared" si="2"/>
        <v>0</v>
      </c>
      <c r="G50" s="315">
        <f t="shared" si="2"/>
        <v>1.3933446881508911E-2</v>
      </c>
      <c r="H50" s="315">
        <f t="shared" si="2"/>
        <v>0</v>
      </c>
      <c r="I50" s="315">
        <f t="shared" si="2"/>
        <v>0</v>
      </c>
      <c r="J50" s="315">
        <f t="shared" si="2"/>
        <v>0</v>
      </c>
      <c r="K50" s="315">
        <f t="shared" si="2"/>
        <v>0</v>
      </c>
      <c r="L50" s="315">
        <f t="shared" si="2"/>
        <v>0</v>
      </c>
      <c r="M50" s="315">
        <f t="shared" si="2"/>
        <v>7.8811724943754957E-4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1.9231410948219592E-4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1.3933446881508911E-2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7.8811724943754957E-4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53.420585967276644</v>
      </c>
      <c r="C54" s="21">
        <f t="shared" ref="C54:P54" si="3">(C50)*10^9/3600</f>
        <v>0</v>
      </c>
      <c r="D54" s="21">
        <f t="shared" si="3"/>
        <v>0</v>
      </c>
      <c r="E54" s="21">
        <f t="shared" si="3"/>
        <v>0</v>
      </c>
      <c r="F54" s="21">
        <f t="shared" si="3"/>
        <v>0</v>
      </c>
      <c r="G54" s="21">
        <f t="shared" si="3"/>
        <v>3870.4019115302531</v>
      </c>
      <c r="H54" s="21">
        <f t="shared" si="3"/>
        <v>0</v>
      </c>
      <c r="I54" s="21">
        <f t="shared" si="3"/>
        <v>0</v>
      </c>
      <c r="J54" s="21">
        <f t="shared" si="3"/>
        <v>0</v>
      </c>
      <c r="K54" s="21">
        <f t="shared" si="3"/>
        <v>0</v>
      </c>
      <c r="L54" s="21">
        <f t="shared" si="3"/>
        <v>0</v>
      </c>
      <c r="M54" s="21">
        <f t="shared" si="3"/>
        <v>218.92145817709712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0.21044448867146176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11.242067898413399</v>
      </c>
      <c r="C58" s="23">
        <f t="shared" ref="C58:P58" ca="1" si="4">C54*C56</f>
        <v>0</v>
      </c>
      <c r="D58" s="23">
        <f t="shared" si="4"/>
        <v>0</v>
      </c>
      <c r="E58" s="23">
        <f t="shared" si="4"/>
        <v>0</v>
      </c>
      <c r="F58" s="23">
        <f t="shared" si="4"/>
        <v>0</v>
      </c>
      <c r="G58" s="23">
        <f t="shared" si="4"/>
        <v>1033.3973103785777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19.108690261136712</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3699.7498727250113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3718.8585629861482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2021-06-29T14:42:23Z</dcterms:modified>
</cp:coreProperties>
</file>