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8" i="15"/>
  <c r="C20" i="15" s="1"/>
  <c r="D40" i="14" s="1"/>
  <c r="C10" i="13"/>
  <c r="C12" i="13" s="1"/>
  <c r="D41" i="14" s="1"/>
  <c r="D46" i="14" s="1"/>
  <c r="D61" i="14" s="1"/>
  <c r="D63" i="14" s="1"/>
  <c r="C22" i="59"/>
  <c r="C56" i="22"/>
  <c r="C58" i="22" s="1"/>
  <c r="D49" i="14" s="1"/>
  <c r="D52"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<sst xmlns="http://schemas.openxmlformats.org/spreadsheetml/2006/main" count="2493" uniqueCount="913">
  <si>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</si>
  <si>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</si>
  <si>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</si>
  <si>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</si>
  <si>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</si>
  <si>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</si>
  <si>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</si>
  <si>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</si>
  <si>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</si>
  <si>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</si>
  <si>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</si>
  <si>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</si>
  <si>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</si>
  <si>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</si>
  <si>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</si>
  <si>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</si>
  <si>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</si>
  <si>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</si>
  <si>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</si>
  <si>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</si>
  <si>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</si>
  <si>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</si>
  <si>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</si>
  <si>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</si>
  <si>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</si>
  <si>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</si>
  <si>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</si>
  <si>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</si>
  <si>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</si>
  <si>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</si>
  <si>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</si>
  <si>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</si>
  <si>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</si>
  <si>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</si>
  <si>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</si>
  <si>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</si>
  <si>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</si>
  <si>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</si>
  <si>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</si>
  <si>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</si>
  <si>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</si>
  <si>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</si>
  <si>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</si>
  <si>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</si>
  <si>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</si>
  <si>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</si>
  <si>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</si>
  <si>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</si>
  <si>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</si>
  <si>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</si>
  <si>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</si>
  <si>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</si>
  <si>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</si>
  <si>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</si>
  <si>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</si>
  <si>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</si>
  <si>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</si>
  <si>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</si>
  <si>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</si>
  <si>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</si>
  <si>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</si>
  <si>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</si>
  <si>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</si>
  <si>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</si>
  <si>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</si>
  <si>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</si>
  <si>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</si>
  <si>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</si>
  <si>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</si>
  <si>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</si>
  <si>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</si>
  <si>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</si>
  <si>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</si>
  <si>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</si>
  <si>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</si>
  <si>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</si>
  <si>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</si>
  <si>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</si>
  <si>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</si>
  <si>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</si>
  <si>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</si>
  <si>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</si>
  <si>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</si>
  <si>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</si>
  <si>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</si>
  <si>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</si>
  <si>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</si>
  <si>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</si>
  <si>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</si>
  <si>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</si>
  <si>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</si>
  <si>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</si>
  <si>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</si>
  <si>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</si>
  <si>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</si>
  <si>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</si>
  <si>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</si>
  <si>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</si>
  <si>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</si>
  <si>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</si>
  <si>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</si>
  <si>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</si>
  <si>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</si>
  <si>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</si>
  <si>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</si>
  <si>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</si>
  <si>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</si>
  <si>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</si>
  <si>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</si>
  <si>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</si>
  <si>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</si>
  <si>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</si>
  <si>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</si>
  <si>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</si>
  <si>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</si>
  <si>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</si>
  <si>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</si>
  <si>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</si>
  <si>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</si>
  <si>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</si>
  <si>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</si>
  <si>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</si>
  <si>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</si>
  <si>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</si>
  <si>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</si>
  <si>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</si>
  <si>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</si>
  <si>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</si>
  <si>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</si>
  <si>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</si>
  <si>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</si>
  <si>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</si>
  <si>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</si>
  <si>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</si>
  <si>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</si>
  <si>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</si>
  <si>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</si>
  <si>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</si>
  <si>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</si>
  <si>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</si>
  <si>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</si>
  <si>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</si>
  <si>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</si>
  <si>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</si>
  <si>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</si>
  <si>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</si>
  <si>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</si>
  <si>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</si>
  <si>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</si>
  <si>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</si>
  <si>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</si>
  <si>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</si>
  <si>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</si>
  <si>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</si>
  <si>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</si>
  <si>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</si>
  <si>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</si>
  <si>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</si>
  <si>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</si>
  <si>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</si>
  <si>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</si>
  <si>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</si>
  <si>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</si>
  <si>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</si>
  <si>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</si>
  <si>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</si>
  <si>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</si>
  <si>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</si>
  <si>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</si>
  <si>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</si>
  <si>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</si>
  <si>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</si>
  <si>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</si>
  <si>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</si>
  <si>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</si>
  <si>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</si>
  <si>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</si>
  <si>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</si>
  <si>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</si>
  <si>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</si>
  <si>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</si>
  <si>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</si>
  <si>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</si>
  <si>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</si>
  <si>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</si>
  <si>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</si>
  <si>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</si>
  <si>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</si>
  <si>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</si>
  <si>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</si>
  <si>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</si>
  <si>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</si>
  <si>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</si>
  <si>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</si>
  <si>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</si>
  <si>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</si>
  <si>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</si>
  <si>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</si>
  <si>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</si>
  <si>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</si>
  <si>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</si>
  <si>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</si>
  <si>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</si>
  <si>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</si>
  <si>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</si>
  <si>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</si>
  <si>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</si>
  <si>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</si>
  <si>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</si>
  <si>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</si>
  <si>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</si>
  <si>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</si>
  <si>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</si>
  <si>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</si>
  <si>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</si>
  <si>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</si>
  <si>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</si>
  <si>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</si>
  <si>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</si>
  <si>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</si>
  <si>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</si>
  <si>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</si>
  <si>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</si>
  <si>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</si>
  <si>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</si>
  <si>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</si>
  <si>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</si>
  <si>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</si>
  <si>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</si>
  <si>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</si>
  <si>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</si>
  <si>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</si>
  <si>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</si>
  <si>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</si>
  <si>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</si>
  <si>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</si>
  <si>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</si>
  <si>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</si>
  <si>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</si>
  <si>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</si>
  <si>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</si>
  <si>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</si>
  <si>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</si>
  <si>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</si>
  <si>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</si>
  <si>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</si>
  <si>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</si>
  <si>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</si>
  <si>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</si>
  <si>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</si>
  <si>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</si>
  <si>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</si>
  <si>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</si>
  <si>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</si>
  <si>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</si>
  <si>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</si>
  <si>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</si>
  <si>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</si>
  <si>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</si>
  <si>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</si>
  <si>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</si>
  <si>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</si>
  <si>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</si>
  <si>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</si>
  <si>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</si>
  <si>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</si>
  <si>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</si>
  <si>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</si>
  <si>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</si>
  <si>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</si>
  <si>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</si>
  <si>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</si>
  <si>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</si>
  <si>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</si>
  <si>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</si>
  <si>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</si>
  <si>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</si>
  <si>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</si>
  <si>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</si>
  <si>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</si>
  <si>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</si>
  <si>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</si>
  <si>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</si>
  <si>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</si>
  <si>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</si>
  <si>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</si>
  <si>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</si>
  <si>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</si>
  <si>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</si>
  <si>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</si>
  <si>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</si>
  <si>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</si>
  <si>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</si>
  <si>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</si>
  <si>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</si>
  <si>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</si>
  <si>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</si>
  <si>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</si>
  <si>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</si>
  <si>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</si>
  <si>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</si>
  <si>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</si>
  <si>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</si>
  <si>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</si>
  <si>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</si>
  <si>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</si>
  <si>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</si>
  <si>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</si>
  <si>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</si>
  <si>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</si>
  <si>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</si>
  <si>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</si>
  <si>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</si>
  <si>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</si>
  <si>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</si>
  <si>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</si>
  <si>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</si>
  <si>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</si>
  <si>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</si>
  <si>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</si>
  <si>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</si>
  <si>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</si>
  <si>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</si>
  <si>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</si>
  <si>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</si>
  <si>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</si>
  <si>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</si>
  <si>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</si>
  <si>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</si>
  <si>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</si>
  <si>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</si>
  <si>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</si>
  <si>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</si>
  <si>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</si>
  <si>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</si>
  <si>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</si>
  <si>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</si>
  <si>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</si>
  <si>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</si>
  <si>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</si>
  <si>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</si>
  <si>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</si>
  <si>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</si>
  <si>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</si>
  <si>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</si>
  <si>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</si>
  <si>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</si>
  <si>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</si>
  <si>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</si>
  <si>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</si>
  <si>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</si>
  <si>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</si>
  <si>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</si>
  <si>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</si>
  <si>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</si>
  <si>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</si>
  <si>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</si>
  <si>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</si>
  <si>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</si>
  <si>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</si>
  <si>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</si>
  <si>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</si>
  <si>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</si>
  <si>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</si>
  <si>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</si>
  <si>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</si>
  <si>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</si>
  <si>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</si>
  <si>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</si>
  <si>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</si>
  <si>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</si>
  <si>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</si>
  <si>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</si>
  <si>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</si>
  <si>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</si>
  <si>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</si>
  <si>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</si>
  <si>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</si>
  <si>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</si>
  <si>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</si>
  <si>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</si>
  <si>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</si>
  <si>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</si>
  <si>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</si>
  <si>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</si>
  <si>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</si>
  <si>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</si>
  <si>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</si>
  <si>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</si>
  <si>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</si>
  <si>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</si>
  <si>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</si>
  <si>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</si>
  <si>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</si>
  <si>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</si>
  <si>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</si>
  <si>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</si>
  <si>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</si>
  <si>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</si>
  <si>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</si>
  <si>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</si>
  <si>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</si>
  <si>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</si>
  <si>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</si>
  <si>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</si>
  <si>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</si>
  <si>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</si>
  <si>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</si>
  <si>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</si>
  <si>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</si>
  <si>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</si>
  <si>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</si>
  <si>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</si>
  <si>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</si>
  <si>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</si>
  <si>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</si>
  <si>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</si>
  <si>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</si>
  <si>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</si>
  <si>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</si>
  <si>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</si>
  <si>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</si>
  <si>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</si>
  <si>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</si>
  <si>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</si>
  <si>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</si>
  <si>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</si>
  <si>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</si>
  <si>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</si>
  <si>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</si>
  <si>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</si>
  <si>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</si>
  <si>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</si>
  <si>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</si>
  <si>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</si>
  <si>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</si>
  <si>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</si>
  <si>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</si>
  <si>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</si>
  <si>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</si>
  <si>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</si>
  <si>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</si>
  <si>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</si>
  <si>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</si>
  <si>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</si>
  <si>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</si>
  <si>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</si>
  <si>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</si>
  <si>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</si>
  <si>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</si>
  <si>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</si>
  <si>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</si>
  <si>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</si>
  <si>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</si>
  <si>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</si>
  <si>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</si>
  <si>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</si>
  <si>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</si>
  <si>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</si>
  <si>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</si>
  <si>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</si>
  <si>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</si>
  <si>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</si>
  <si>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</si>
  <si>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</si>
  <si>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</si>
  <si>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</si>
  <si>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</si>
  <si>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</si>
  <si>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</si>
  <si>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</si>
  <si>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</si>
  <si>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</si>
  <si>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</si>
  <si>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</si>
  <si>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</si>
  <si>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</si>
  <si>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</si>
  <si>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</si>
  <si>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</si>
  <si>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</si>
  <si>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</si>
  <si>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</si>
  <si>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</si>
  <si>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</si>
  <si>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</si>
  <si>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</si>
  <si>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</si>
  <si>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</si>
  <si>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</si>
  <si>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</si>
  <si>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</si>
  <si>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</si>
  <si>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</si>
  <si>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</si>
  <si>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</si>
  <si>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</si>
  <si>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</si>
  <si>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</si>
  <si>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</si>
  <si>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</si>
  <si>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</si>
  <si>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</si>
  <si>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</si>
  <si>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</si>
  <si>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</si>
  <si>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</si>
  <si>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</si>
  <si>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</si>
  <si>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</si>
  <si>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</si>
  <si>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</si>
  <si>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</si>
  <si>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</si>
  <si>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</si>
  <si>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</si>
  <si>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</si>
  <si>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</si>
  <si>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</si>
  <si>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</si>
  <si>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</si>
  <si>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</si>
  <si>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</si>
  <si>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</si>
  <si>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</si>
  <si>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</si>
  <si>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</si>
  <si>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</si>
  <si>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</si>
  <si>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</si>
  <si>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</si>
  <si>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</si>
  <si>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</si>
  <si>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</si>
  <si>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</si>
  <si>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</si>
  <si>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</si>
  <si>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</si>
  <si>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</si>
  <si>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</si>
  <si>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</si>
  <si>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</si>
  <si>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</si>
  <si>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</si>
  <si>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</si>
  <si>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</si>
  <si>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</si>
  <si>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</si>
  <si>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</si>
  <si>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</si>
  <si>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</si>
  <si>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</si>
  <si>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</si>
  <si>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</si>
  <si>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</si>
  <si>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</si>
  <si>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</si>
  <si>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</si>
  <si>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</si>
  <si>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</si>
  <si>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</si>
  <si>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</si>
  <si>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</si>
  <si>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</si>
  <si>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</si>
  <si>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</si>
  <si>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</si>
  <si>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</si>
  <si>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</si>
  <si>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</si>
  <si>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</si>
  <si>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</si>
  <si>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</si>
  <si>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</si>
  <si>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</si>
  <si>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</si>
  <si>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</si>
  <si>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</si>
  <si>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</si>
  <si>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</si>
  <si>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</si>
  <si>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</si>
  <si>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</si>
  <si>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</si>
  <si>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</si>
  <si>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</si>
  <si>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</si>
  <si>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</si>
  <si>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</si>
  <si>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</si>
  <si>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</si>
  <si>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</si>
  <si>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</si>
  <si>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</si>
  <si>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</si>
  <si>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</si>
  <si>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</si>
  <si>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</si>
  <si>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</si>
  <si>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</si>
  <si>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</si>
  <si>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</si>
  <si>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</si>
  <si>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</si>
  <si>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</si>
  <si>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</si>
  <si>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</si>
  <si>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</si>
  <si>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</si>
  <si>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</si>
  <si>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</si>
  <si>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</si>
  <si>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</si>
  <si>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</si>
  <si>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</si>
  <si>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</si>
  <si>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</si>
  <si>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</si>
  <si>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</si>
  <si>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</si>
  <si>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</si>
  <si>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</si>
  <si>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</si>
  <si>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</si>
  <si>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</si>
  <si>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</si>
  <si>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</si>
  <si>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</si>
  <si>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</si>
  <si>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</si>
  <si>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</si>
  <si>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</si>
  <si>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</si>
  <si>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</si>
  <si>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</si>
  <si>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</si>
  <si>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</si>
  <si>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</si>
  <si>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</si>
  <si>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</si>
  <si>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</si>
  <si>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</si>
  <si>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</si>
  <si>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</si>
  <si>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</si>
  <si>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</si>
  <si>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</si>
  <si>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</si>
  <si>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</si>
  <si>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</si>
  <si>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</si>
  <si>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</si>
  <si>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</si>
  <si>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</si>
  <si>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</si>
  <si>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</si>
  <si>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</si>
  <si>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</si>
  <si>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</si>
  <si>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</si>
  <si>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</si>
  <si>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</si>
  <si>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</si>
  <si>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</si>
  <si>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</si>
  <si>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</si>
  <si>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</si>
  <si>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</si>
  <si>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</si>
  <si>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</si>
  <si>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</si>
  <si>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</si>
  <si>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</si>
  <si>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</si>
  <si>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</si>
  <si>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</si>
  <si>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</si>
  <si>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</si>
  <si>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</si>
  <si>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</si>
  <si>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</si>
  <si>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</si>
  <si>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</si>
  <si>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</si>
  <si>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</si>
  <si>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</si>
  <si>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</si>
  <si>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</si>
  <si>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</si>
  <si>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</si>
  <si>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</si>
  <si>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</si>
  <si>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</si>
  <si>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</si>
  <si>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</si>
  <si>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</si>
  <si>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</si>
  <si>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</si>
  <si>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</si>
  <si>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</si>
  <si>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</si>
  <si>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</si>
  <si>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</si>
  <si>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</si>
  <si>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</si>
  <si>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</si>
  <si>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</si>
  <si>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</si>
  <si>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</si>
  <si>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</si>
  <si>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</si>
  <si>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</si>
  <si>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</si>
  <si>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</si>
  <si>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</si>
  <si>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</si>
  <si>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</si>
  <si>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</si>
  <si>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</si>
  <si>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</si>
  <si>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</si>
  <si>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</si>
  <si>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</si>
  <si>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</si>
  <si>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</si>
  <si>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</si>
  <si>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</si>
  <si>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</si>
  <si>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</si>
  <si>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</si>
  <si>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</si>
  <si>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</si>
  <si>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</si>
  <si>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</si>
  <si>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</si>
  <si>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</si>
  <si>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</si>
  <si>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</si>
  <si>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</si>
  <si>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</si>
  <si>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</si>
  <si>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</si>
  <si>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</si>
  <si>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</si>
  <si>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</si>
  <si>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</si>
  <si>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</si>
  <si>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</si>
  <si>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</si>
  <si>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</si>
  <si>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</si>
  <si>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</si>
  <si>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</si>
  <si>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</si>
  <si>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</si>
  <si>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</si>
  <si>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</si>
  <si>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</si>
  <si>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</si>
  <si>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</si>
  <si>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</si>
  <si>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</si>
  <si>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</si>
  <si>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</si>
  <si>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</si>
  <si>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</si>
  <si>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</si>
  <si>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</si>
  <si>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</si>
  <si>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</si>
  <si>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</si>
  <si>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</si>
  <si>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</si>
  <si>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</si>
  <si>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</si>
  <si>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</si>
  <si>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</si>
  <si>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</si>
  <si>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</si>
  <si>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</si>
  <si>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</si>
  <si>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</si>
  <si>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</si>
  <si>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</si>
  <si>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</si>
  <si>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</si>
  <si>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</si>
  <si>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</si>
  <si>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</si>
  <si>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</si>
  <si>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</si>
  <si>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</si>
  <si>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</si>
  <si>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</si>
  <si>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</si>
  <si>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</si>
  <si>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</si>
  <si>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</si>
  <si>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</si>
  <si>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</si>
  <si>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</si>
  <si>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</si>
  <si>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</si>
  <si>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</si>
  <si>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</si>
  <si>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</si>
  <si>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</si>
  <si>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</si>
  <si>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</si>
  <si>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</si>
  <si>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</si>
  <si>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</si>
  <si>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</si>
  <si>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</si>
  <si>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</si>
  <si>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</si>
  <si>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</si>
  <si>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</si>
  <si>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</si>
  <si>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</si>
  <si>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</si>
  <si>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</si>
  <si>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</si>
  <si>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</si>
  <si>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</si>
  <si>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</si>
  <si>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</si>
  <si>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</si>
  <si>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</si>
  <si>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</si>
  <si>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</si>
  <si>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</si>
  <si>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</si>
  <si>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</si>
  <si>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</si>
  <si>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</si>
  <si>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</si>
  <si>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</si>
  <si>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</si>
  <si>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</si>
  <si>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</si>
  <si>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</si>
  <si>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</si>
  <si>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</si>
  <si>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</si>
  <si>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</si>
  <si>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</si>
  <si>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</si>
  <si>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</si>
  <si>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</si>
  <si>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</si>
  <si>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</si>
  <si>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</si>
  <si>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</si>
  <si>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</si>
  <si>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</si>
  <si>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</si>
  <si>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</si>
  <si>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</si>
  <si>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</si>
  <si>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</si>
  <si>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</si>
  <si>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</si>
  <si>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</si>
  <si>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</si>
  <si>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</si>
  <si>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</si>
  <si>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</si>
  <si>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</si>
  <si>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</si>
  <si>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</si>
  <si>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</si>
  <si>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</si>
  <si>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</si>
  <si>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</si>
  <si>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</si>
  <si>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</si>
  <si>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</si>
  <si>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</si>
  <si>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</si>
  <si>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</si>
  <si>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</si>
  <si>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</si>
  <si>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</si>
  <si>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</si>
  <si>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</si>
  <si>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</si>
  <si>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</si>
  <si>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</si>
  <si>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</si>
  <si>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</si>
  <si>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</si>
  <si>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</si>
  <si>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</si>
  <si>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</si>
  <si>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</si>
  <si>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</si>
  <si>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</si>
  <si>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</si>
  <si>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</si>
  <si>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</si>
  <si>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</si>
  <si>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</si>
  <si>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23052</t>
  </si>
  <si>
    <t>MERCHTEM</t>
  </si>
  <si>
    <t>referentietaak LNE (2017); Jaarverslag De Lijn</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</si>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</sst>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137943.76533874325</c:v>
                </c:pt>
                <c:pt idx="1">
                  <c:v>39185.733598095685</c:v>
                </c:pt>
                <c:pt idx="2">
                  <c:v>825.048</c:v>
                </c:pt>
                <c:pt idx="3">
                  <c:v>14346.487511954476</c:v>
                </c:pt>
                <c:pt idx="4">
                  <c:v>9976.9331357444953</c:v>
                </c:pt>
                <c:pt idx="5">
                  <c:v>76924.921638536311</c:v>
                </c:pt>
                <c:pt idx="6">
                  <c:v>1521.6791549138695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137943.76533874325</c:v>
                </c:pt>
                <c:pt idx="1">
                  <c:v>39185.733598095685</c:v>
                </c:pt>
                <c:pt idx="2">
                  <c:v>825.048</c:v>
                </c:pt>
                <c:pt idx="3">
                  <c:v>14346.487511954476</c:v>
                </c:pt>
                <c:pt idx="4">
                  <c:v>9976.9331357444953</c:v>
                </c:pt>
                <c:pt idx="5">
                  <c:v>76924.921638536311</c:v>
                </c:pt>
                <c:pt idx="6">
                  <c:v>1521.6791549138695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28726.371671616809</c:v>
                </c:pt>
                <c:pt idx="1">
                  <c:v>7743.9779600487955</c:v>
                </c:pt>
                <c:pt idx="2">
                  <c:v>167.46814309431295</c:v>
                </c:pt>
                <c:pt idx="3">
                  <c:v>3613.9671775034567</c:v>
                </c:pt>
                <c:pt idx="4">
                  <c:v>2133.1635519650895</c:v>
                </c:pt>
                <c:pt idx="5">
                  <c:v>19069.733114375467</c:v>
                </c:pt>
                <c:pt idx="6">
                  <c:v>383.56200448780004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28726.371671616809</c:v>
                </c:pt>
                <c:pt idx="1">
                  <c:v>7743.9779600487955</c:v>
                </c:pt>
                <c:pt idx="2">
                  <c:v>167.46814309431295</c:v>
                </c:pt>
                <c:pt idx="3">
                  <c:v>3613.9671775034567</c:v>
                </c:pt>
                <c:pt idx="4">
                  <c:v>2133.1635519650895</c:v>
                </c:pt>
                <c:pt idx="5">
                  <c:v>19069.733114375467</c:v>
                </c:pt>
                <c:pt idx="6">
                  <c:v>383.56200448780004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23052</v>
      </c>
      <c r="B6" s="386"/>
      <c r="C6" s="387"/>
    </row>
    <row r="7" spans="1:7" s="384" customFormat="1" ht="15.75" customHeight="1">
      <c r="A7" s="388" t="str">
        <f>txtMunicipality</f>
        <v>MERCHTEM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16677.514305000001</v>
      </c>
      <c r="D10" s="681">
        <f ca="1">tertiair!C16</f>
        <v>0</v>
      </c>
      <c r="E10" s="681">
        <f ca="1">tertiair!D16</f>
        <v>19742.193595278004</v>
      </c>
      <c r="F10" s="681">
        <f>tertiair!E16</f>
        <v>239.77928195521122</v>
      </c>
      <c r="G10" s="681">
        <f ca="1">tertiair!F16</f>
        <v>1812.284423543922</v>
      </c>
      <c r="H10" s="681">
        <f>tertiair!G16</f>
        <v>0</v>
      </c>
      <c r="I10" s="681">
        <f>tertiair!H16</f>
        <v>0</v>
      </c>
      <c r="J10" s="681">
        <f>tertiair!I16</f>
        <v>0</v>
      </c>
      <c r="K10" s="681">
        <f>tertiair!J16</f>
        <v>3.7642597136813824E-2</v>
      </c>
      <c r="L10" s="681">
        <f>tertiair!K16</f>
        <v>0</v>
      </c>
      <c r="M10" s="681">
        <f ca="1">tertiair!L16</f>
        <v>0</v>
      </c>
      <c r="N10" s="681">
        <f>tertiair!M16</f>
        <v>0</v>
      </c>
      <c r="O10" s="681">
        <f ca="1">tertiair!N16</f>
        <v>1476.6386898832407</v>
      </c>
      <c r="P10" s="681">
        <f>tertiair!O16</f>
        <v>9.7945215316823084</v>
      </c>
      <c r="Q10" s="682">
        <f>tertiair!P16</f>
        <v>52.539138306495019</v>
      </c>
      <c r="R10" s="684">
        <f ca="1">SUM(C10:Q10)</f>
        <v>40010.781598095688</v>
      </c>
      <c r="S10" s="67"/>
    </row>
    <row r="11" spans="1:19" s="444" customFormat="1">
      <c r="A11" s="802" t="s">
        <v>219</v>
      </c>
      <c r="B11" s="807"/>
      <c r="C11" s="681">
        <f>huishoudens!B8</f>
        <v>30944.486388183919</v>
      </c>
      <c r="D11" s="681">
        <f>huishoudens!C8</f>
        <v>0</v>
      </c>
      <c r="E11" s="681">
        <f>huishoudens!D8</f>
        <v>47836.339320220002</v>
      </c>
      <c r="F11" s="681">
        <f>huishoudens!E8</f>
        <v>2806.7141101246243</v>
      </c>
      <c r="G11" s="681">
        <f>huishoudens!F8</f>
        <v>45247.97226155462</v>
      </c>
      <c r="H11" s="681">
        <f>huishoudens!G8</f>
        <v>0</v>
      </c>
      <c r="I11" s="681">
        <f>huishoudens!H8</f>
        <v>0</v>
      </c>
      <c r="J11" s="681">
        <f>huishoudens!I8</f>
        <v>0</v>
      </c>
      <c r="K11" s="681">
        <f>huishoudens!J8</f>
        <v>180.76365428520216</v>
      </c>
      <c r="L11" s="681">
        <f>huishoudens!K8</f>
        <v>0</v>
      </c>
      <c r="M11" s="681">
        <f>huishoudens!L8</f>
        <v>0</v>
      </c>
      <c r="N11" s="681">
        <f>huishoudens!M8</f>
        <v>0</v>
      </c>
      <c r="O11" s="681">
        <f>huishoudens!N8</f>
        <v>9704.4186959863182</v>
      </c>
      <c r="P11" s="681">
        <f>huishoudens!O8</f>
        <v>253.94665208154007</v>
      </c>
      <c r="Q11" s="682">
        <f>huishoudens!P8</f>
        <v>969.12425630702205</v>
      </c>
      <c r="R11" s="684">
        <f>SUM(C11:Q11)</f>
        <v>137943.76533874325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4394.6208740000002</v>
      </c>
      <c r="D13" s="681">
        <f>industrie!C18</f>
        <v>0</v>
      </c>
      <c r="E13" s="681">
        <f>industrie!D18</f>
        <v>2494.7366809200003</v>
      </c>
      <c r="F13" s="681">
        <f>industrie!E18</f>
        <v>681.47601802211534</v>
      </c>
      <c r="G13" s="681">
        <f>industrie!F18</f>
        <v>2112.8159480591048</v>
      </c>
      <c r="H13" s="681">
        <f>industrie!G18</f>
        <v>0</v>
      </c>
      <c r="I13" s="681">
        <f>industrie!H18</f>
        <v>0</v>
      </c>
      <c r="J13" s="681">
        <f>industrie!I18</f>
        <v>0</v>
      </c>
      <c r="K13" s="681">
        <f>industrie!J18</f>
        <v>51.949761449032493</v>
      </c>
      <c r="L13" s="681">
        <f>industrie!K18</f>
        <v>0</v>
      </c>
      <c r="M13" s="681">
        <f>industrie!L18</f>
        <v>0</v>
      </c>
      <c r="N13" s="681">
        <f>industrie!M18</f>
        <v>0</v>
      </c>
      <c r="O13" s="681">
        <f>industrie!N18</f>
        <v>241.33385329424169</v>
      </c>
      <c r="P13" s="681">
        <f>industrie!O18</f>
        <v>0</v>
      </c>
      <c r="Q13" s="682">
        <f>industrie!P18</f>
        <v>0</v>
      </c>
      <c r="R13" s="684">
        <f>SUM(C13:Q13)</f>
        <v>9976.9331357444953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52016.621567183916</v>
      </c>
      <c r="D16" s="717">
        <f t="shared" ref="D16:R16" ca="1" si="0">SUM(D9:D15)</f>
        <v>0</v>
      </c>
      <c r="E16" s="717">
        <f t="shared" ca="1" si="0"/>
        <v>70073.269596418017</v>
      </c>
      <c r="F16" s="717">
        <f t="shared" si="0"/>
        <v>3727.9694101019513</v>
      </c>
      <c r="G16" s="717">
        <f t="shared" ca="1" si="0"/>
        <v>49173.072633157644</v>
      </c>
      <c r="H16" s="717">
        <f t="shared" si="0"/>
        <v>0</v>
      </c>
      <c r="I16" s="717">
        <f t="shared" si="0"/>
        <v>0</v>
      </c>
      <c r="J16" s="717">
        <f t="shared" si="0"/>
        <v>0</v>
      </c>
      <c r="K16" s="717">
        <f t="shared" si="0"/>
        <v>232.7510583313715</v>
      </c>
      <c r="L16" s="717">
        <f t="shared" si="0"/>
        <v>0</v>
      </c>
      <c r="M16" s="717">
        <f t="shared" ca="1" si="0"/>
        <v>0</v>
      </c>
      <c r="N16" s="717">
        <f t="shared" si="0"/>
        <v>0</v>
      </c>
      <c r="O16" s="717">
        <f t="shared" ca="1" si="0"/>
        <v>11422.3912391638</v>
      </c>
      <c r="P16" s="717">
        <f t="shared" si="0"/>
        <v>263.74117361322237</v>
      </c>
      <c r="Q16" s="717">
        <f t="shared" si="0"/>
        <v>1021.6633946135171</v>
      </c>
      <c r="R16" s="717">
        <f t="shared" ca="1" si="0"/>
        <v>187931.48007258345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19.622016948052419</v>
      </c>
      <c r="D19" s="681">
        <f>transport!C54</f>
        <v>0</v>
      </c>
      <c r="E19" s="681">
        <f>transport!D54</f>
        <v>0</v>
      </c>
      <c r="F19" s="681">
        <f>transport!E54</f>
        <v>0</v>
      </c>
      <c r="G19" s="681">
        <f>transport!F54</f>
        <v>0</v>
      </c>
      <c r="H19" s="681">
        <f>transport!G54</f>
        <v>1421.6446811411256</v>
      </c>
      <c r="I19" s="681">
        <f>transport!H54</f>
        <v>0</v>
      </c>
      <c r="J19" s="681">
        <f>transport!I54</f>
        <v>0</v>
      </c>
      <c r="K19" s="681">
        <f>transport!J54</f>
        <v>0</v>
      </c>
      <c r="L19" s="681">
        <f>transport!K54</f>
        <v>0</v>
      </c>
      <c r="M19" s="681">
        <f>transport!L54</f>
        <v>0</v>
      </c>
      <c r="N19" s="681">
        <f>transport!M54</f>
        <v>80.412456824691375</v>
      </c>
      <c r="O19" s="681">
        <f>transport!N54</f>
        <v>0</v>
      </c>
      <c r="P19" s="681">
        <f>transport!O54</f>
        <v>0</v>
      </c>
      <c r="Q19" s="682">
        <f>transport!P54</f>
        <v>0</v>
      </c>
      <c r="R19" s="684">
        <f>SUM(C19:Q19)</f>
        <v>1521.6791549138695</v>
      </c>
      <c r="S19" s="67"/>
    </row>
    <row r="20" spans="1:19" s="444" customFormat="1">
      <c r="A20" s="802" t="s">
        <v>301</v>
      </c>
      <c r="B20" s="807"/>
      <c r="C20" s="681">
        <f>transport!B14</f>
        <v>93.110439665991393</v>
      </c>
      <c r="D20" s="681">
        <f>transport!C14</f>
        <v>0</v>
      </c>
      <c r="E20" s="681">
        <f>transport!D14</f>
        <v>186.45898213578457</v>
      </c>
      <c r="F20" s="681">
        <f>transport!E14</f>
        <v>158.35497895562079</v>
      </c>
      <c r="G20" s="681">
        <f>transport!F14</f>
        <v>0</v>
      </c>
      <c r="H20" s="681">
        <f>transport!G14</f>
        <v>55729.411647367851</v>
      </c>
      <c r="I20" s="681">
        <f>transport!H14</f>
        <v>16455.700257629811</v>
      </c>
      <c r="J20" s="681">
        <f>transport!I14</f>
        <v>0</v>
      </c>
      <c r="K20" s="681">
        <f>transport!J14</f>
        <v>0</v>
      </c>
      <c r="L20" s="681">
        <f>transport!K14</f>
        <v>0</v>
      </c>
      <c r="M20" s="681">
        <f>transport!L14</f>
        <v>0</v>
      </c>
      <c r="N20" s="681">
        <f>transport!M14</f>
        <v>4301.8853327812531</v>
      </c>
      <c r="O20" s="681">
        <f>transport!N14</f>
        <v>0</v>
      </c>
      <c r="P20" s="681">
        <f>transport!O14</f>
        <v>0</v>
      </c>
      <c r="Q20" s="682">
        <f>transport!P14</f>
        <v>0</v>
      </c>
      <c r="R20" s="684">
        <f>SUM(C20:Q20)</f>
        <v>76924.921638536311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112.73245661404381</v>
      </c>
      <c r="D22" s="805">
        <f t="shared" ref="D22:R22" si="1">SUM(D18:D21)</f>
        <v>0</v>
      </c>
      <c r="E22" s="805">
        <f t="shared" si="1"/>
        <v>186.45898213578457</v>
      </c>
      <c r="F22" s="805">
        <f t="shared" si="1"/>
        <v>158.35497895562079</v>
      </c>
      <c r="G22" s="805">
        <f t="shared" si="1"/>
        <v>0</v>
      </c>
      <c r="H22" s="805">
        <f t="shared" si="1"/>
        <v>57151.056328508974</v>
      </c>
      <c r="I22" s="805">
        <f t="shared" si="1"/>
        <v>16455.700257629811</v>
      </c>
      <c r="J22" s="805">
        <f t="shared" si="1"/>
        <v>0</v>
      </c>
      <c r="K22" s="805">
        <f t="shared" si="1"/>
        <v>0</v>
      </c>
      <c r="L22" s="805">
        <f t="shared" si="1"/>
        <v>0</v>
      </c>
      <c r="M22" s="805">
        <f t="shared" si="1"/>
        <v>0</v>
      </c>
      <c r="N22" s="805">
        <f t="shared" si="1"/>
        <v>4382.2977896059447</v>
      </c>
      <c r="O22" s="805">
        <f t="shared" si="1"/>
        <v>0</v>
      </c>
      <c r="P22" s="805">
        <f t="shared" si="1"/>
        <v>0</v>
      </c>
      <c r="Q22" s="805">
        <f t="shared" si="1"/>
        <v>0</v>
      </c>
      <c r="R22" s="805">
        <f t="shared" si="1"/>
        <v>78446.600793450183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2665.3052189999994</v>
      </c>
      <c r="D24" s="681">
        <f>+landbouw!C8</f>
        <v>62.357142857142847</v>
      </c>
      <c r="E24" s="681">
        <f>+landbouw!D8</f>
        <v>1381.8478830640001</v>
      </c>
      <c r="F24" s="681">
        <f>+landbouw!E8</f>
        <v>83.183296975757912</v>
      </c>
      <c r="G24" s="681">
        <f>+landbouw!F8</f>
        <v>9419.4838984933722</v>
      </c>
      <c r="H24" s="681">
        <f>+landbouw!G8</f>
        <v>0</v>
      </c>
      <c r="I24" s="681">
        <f>+landbouw!H8</f>
        <v>0</v>
      </c>
      <c r="J24" s="681">
        <f>+landbouw!I8</f>
        <v>0</v>
      </c>
      <c r="K24" s="681">
        <f>+landbouw!J8</f>
        <v>734.31007156420321</v>
      </c>
      <c r="L24" s="681">
        <f>+landbouw!K8</f>
        <v>0</v>
      </c>
      <c r="M24" s="681">
        <f>+landbouw!L8</f>
        <v>0</v>
      </c>
      <c r="N24" s="681">
        <f>+landbouw!M8</f>
        <v>0</v>
      </c>
      <c r="O24" s="681">
        <f>+landbouw!N8</f>
        <v>0</v>
      </c>
      <c r="P24" s="681">
        <f>+landbouw!O8</f>
        <v>0</v>
      </c>
      <c r="Q24" s="682">
        <f>+landbouw!P8</f>
        <v>0</v>
      </c>
      <c r="R24" s="684">
        <f>SUM(C24:Q24)</f>
        <v>14346.487511954476</v>
      </c>
      <c r="S24" s="67"/>
    </row>
    <row r="25" spans="1:19" s="444" customFormat="1" ht="15" thickBot="1">
      <c r="A25" s="824" t="s">
        <v>714</v>
      </c>
      <c r="B25" s="943"/>
      <c r="C25" s="944">
        <f>IF(Onbekend_ele_kWh="---",0,Onbekend_ele_kWh)/1000+IF(REST_rest_ele_kWh="---",0,REST_rest_ele_kWh)/1000</f>
        <v>1069.6851640000002</v>
      </c>
      <c r="D25" s="944"/>
      <c r="E25" s="944">
        <f>IF(onbekend_gas_kWh="---",0,onbekend_gas_kWh)/1000+IF(REST_rest_gas_kWh="---",0,REST_rest_gas_kWh)/1000</f>
        <v>2151.4410359999997</v>
      </c>
      <c r="F25" s="944"/>
      <c r="G25" s="944"/>
      <c r="H25" s="944"/>
      <c r="I25" s="944"/>
      <c r="J25" s="944"/>
      <c r="K25" s="944"/>
      <c r="L25" s="944"/>
      <c r="M25" s="944"/>
      <c r="N25" s="944"/>
      <c r="O25" s="944"/>
      <c r="P25" s="944"/>
      <c r="Q25" s="945"/>
      <c r="R25" s="684">
        <f>SUM(C25:Q25)</f>
        <v>3221.1261999999997</v>
      </c>
      <c r="S25" s="67"/>
    </row>
    <row r="26" spans="1:19" s="444" customFormat="1" ht="15.75" thickBot="1">
      <c r="A26" s="689" t="s">
        <v>715</v>
      </c>
      <c r="B26" s="810"/>
      <c r="C26" s="805">
        <f>SUM(C24:C25)</f>
        <v>3734.9903829999994</v>
      </c>
      <c r="D26" s="805">
        <f t="shared" ref="D26:R26" si="2">SUM(D24:D25)</f>
        <v>62.357142857142847</v>
      </c>
      <c r="E26" s="805">
        <f t="shared" si="2"/>
        <v>3533.2889190639999</v>
      </c>
      <c r="F26" s="805">
        <f t="shared" si="2"/>
        <v>83.183296975757912</v>
      </c>
      <c r="G26" s="805">
        <f t="shared" si="2"/>
        <v>9419.4838984933722</v>
      </c>
      <c r="H26" s="805">
        <f t="shared" si="2"/>
        <v>0</v>
      </c>
      <c r="I26" s="805">
        <f t="shared" si="2"/>
        <v>0</v>
      </c>
      <c r="J26" s="805">
        <f t="shared" si="2"/>
        <v>0</v>
      </c>
      <c r="K26" s="805">
        <f t="shared" si="2"/>
        <v>734.31007156420321</v>
      </c>
      <c r="L26" s="805">
        <f t="shared" si="2"/>
        <v>0</v>
      </c>
      <c r="M26" s="805">
        <f t="shared" si="2"/>
        <v>0</v>
      </c>
      <c r="N26" s="805">
        <f t="shared" si="2"/>
        <v>0</v>
      </c>
      <c r="O26" s="805">
        <f t="shared" si="2"/>
        <v>0</v>
      </c>
      <c r="P26" s="805">
        <f t="shared" si="2"/>
        <v>0</v>
      </c>
      <c r="Q26" s="805">
        <f t="shared" si="2"/>
        <v>0</v>
      </c>
      <c r="R26" s="805">
        <f t="shared" si="2"/>
        <v>17567.613711954476</v>
      </c>
      <c r="S26" s="67"/>
    </row>
    <row r="27" spans="1:19" s="444" customFormat="1" ht="17.25" thickTop="1" thickBot="1">
      <c r="A27" s="690" t="s">
        <v>115</v>
      </c>
      <c r="B27" s="797"/>
      <c r="C27" s="691">
        <f ca="1">C22+C16+C26</f>
        <v>55864.344406797958</v>
      </c>
      <c r="D27" s="691">
        <f t="shared" ref="D27:R27" ca="1" si="3">D22+D16+D26</f>
        <v>62.357142857142847</v>
      </c>
      <c r="E27" s="691">
        <f t="shared" ca="1" si="3"/>
        <v>73793.017497617795</v>
      </c>
      <c r="F27" s="691">
        <f t="shared" si="3"/>
        <v>3969.5076860333302</v>
      </c>
      <c r="G27" s="691">
        <f t="shared" ca="1" si="3"/>
        <v>58592.556531651018</v>
      </c>
      <c r="H27" s="691">
        <f t="shared" si="3"/>
        <v>57151.056328508974</v>
      </c>
      <c r="I27" s="691">
        <f t="shared" si="3"/>
        <v>16455.700257629811</v>
      </c>
      <c r="J27" s="691">
        <f t="shared" si="3"/>
        <v>0</v>
      </c>
      <c r="K27" s="691">
        <f t="shared" si="3"/>
        <v>967.06112989557471</v>
      </c>
      <c r="L27" s="691">
        <f t="shared" si="3"/>
        <v>0</v>
      </c>
      <c r="M27" s="691">
        <f t="shared" ca="1" si="3"/>
        <v>0</v>
      </c>
      <c r="N27" s="691">
        <f t="shared" si="3"/>
        <v>4382.2977896059447</v>
      </c>
      <c r="O27" s="691">
        <f t="shared" ca="1" si="3"/>
        <v>11422.3912391638</v>
      </c>
      <c r="P27" s="691">
        <f t="shared" si="3"/>
        <v>263.74117361322237</v>
      </c>
      <c r="Q27" s="691">
        <f t="shared" si="3"/>
        <v>1021.6633946135171</v>
      </c>
      <c r="R27" s="691">
        <f t="shared" ca="1" si="3"/>
        <v>283945.69457798812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3385.1998333275046</v>
      </c>
      <c r="D40" s="681">
        <f ca="1">tertiair!C20</f>
        <v>0</v>
      </c>
      <c r="E40" s="681">
        <f ca="1">tertiair!D20</f>
        <v>3987.9231062461572</v>
      </c>
      <c r="F40" s="681">
        <f>tertiair!E20</f>
        <v>54.429897003832949</v>
      </c>
      <c r="G40" s="681">
        <f ca="1">tertiair!F20</f>
        <v>483.87994108622718</v>
      </c>
      <c r="H40" s="681">
        <f>tertiair!G20</f>
        <v>0</v>
      </c>
      <c r="I40" s="681">
        <f>tertiair!H20</f>
        <v>0</v>
      </c>
      <c r="J40" s="681">
        <f>tertiair!I20</f>
        <v>0</v>
      </c>
      <c r="K40" s="681">
        <f>tertiair!J20</f>
        <v>1.3325479386432092E-2</v>
      </c>
      <c r="L40" s="681">
        <f>tertiair!K20</f>
        <v>0</v>
      </c>
      <c r="M40" s="681">
        <f ca="1">tertiair!L20</f>
        <v>0</v>
      </c>
      <c r="N40" s="681">
        <f>tertiair!M20</f>
        <v>0</v>
      </c>
      <c r="O40" s="681">
        <f ca="1">tertiair!N20</f>
        <v>0</v>
      </c>
      <c r="P40" s="681">
        <f>tertiair!O20</f>
        <v>0</v>
      </c>
      <c r="Q40" s="764">
        <f>tertiair!P20</f>
        <v>0</v>
      </c>
      <c r="R40" s="843">
        <f t="shared" ca="1" si="4"/>
        <v>7911.4461031431083</v>
      </c>
    </row>
    <row r="41" spans="1:18">
      <c r="A41" s="815" t="s">
        <v>219</v>
      </c>
      <c r="B41" s="822"/>
      <c r="C41" s="681">
        <f ca="1">huishoudens!B12</f>
        <v>6281.1080984820328</v>
      </c>
      <c r="D41" s="681">
        <f ca="1">huishoudens!C12</f>
        <v>0</v>
      </c>
      <c r="E41" s="681">
        <f>huishoudens!D12</f>
        <v>9662.9405426844405</v>
      </c>
      <c r="F41" s="681">
        <f>huishoudens!E12</f>
        <v>637.12410299828969</v>
      </c>
      <c r="G41" s="681">
        <f>huishoudens!F12</f>
        <v>12081.208593835085</v>
      </c>
      <c r="H41" s="681">
        <f>huishoudens!G12</f>
        <v>0</v>
      </c>
      <c r="I41" s="681">
        <f>huishoudens!H12</f>
        <v>0</v>
      </c>
      <c r="J41" s="681">
        <f>huishoudens!I12</f>
        <v>0</v>
      </c>
      <c r="K41" s="681">
        <f>huishoudens!J12</f>
        <v>63.990333616961564</v>
      </c>
      <c r="L41" s="681">
        <f>huishoudens!K12</f>
        <v>0</v>
      </c>
      <c r="M41" s="681">
        <f>huishoudens!L12</f>
        <v>0</v>
      </c>
      <c r="N41" s="681">
        <f>huishoudens!M12</f>
        <v>0</v>
      </c>
      <c r="O41" s="681">
        <f>huishoudens!N12</f>
        <v>0</v>
      </c>
      <c r="P41" s="681">
        <f>huishoudens!O12</f>
        <v>0</v>
      </c>
      <c r="Q41" s="764">
        <f>huishoudens!P12</f>
        <v>0</v>
      </c>
      <c r="R41" s="843">
        <f t="shared" ca="1" si="4"/>
        <v>28726.371671616809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892.01961264349063</v>
      </c>
      <c r="D43" s="681">
        <f ca="1">industrie!C22</f>
        <v>0</v>
      </c>
      <c r="E43" s="681">
        <f>industrie!D22</f>
        <v>503.93680954584011</v>
      </c>
      <c r="F43" s="681">
        <f>industrie!E22</f>
        <v>154.69505609102018</v>
      </c>
      <c r="G43" s="681">
        <f>industrie!F22</f>
        <v>564.12185813178098</v>
      </c>
      <c r="H43" s="681">
        <f>industrie!G22</f>
        <v>0</v>
      </c>
      <c r="I43" s="681">
        <f>industrie!H22</f>
        <v>0</v>
      </c>
      <c r="J43" s="681">
        <f>industrie!I22</f>
        <v>0</v>
      </c>
      <c r="K43" s="681">
        <f>industrie!J22</f>
        <v>18.390215552957503</v>
      </c>
      <c r="L43" s="681">
        <f>industrie!K22</f>
        <v>0</v>
      </c>
      <c r="M43" s="681">
        <f>industrie!L22</f>
        <v>0</v>
      </c>
      <c r="N43" s="681">
        <f>industrie!M22</f>
        <v>0</v>
      </c>
      <c r="O43" s="681">
        <f>industrie!N22</f>
        <v>0</v>
      </c>
      <c r="P43" s="681">
        <f>industrie!O22</f>
        <v>0</v>
      </c>
      <c r="Q43" s="764">
        <f>industrie!P22</f>
        <v>0</v>
      </c>
      <c r="R43" s="842">
        <f t="shared" ca="1" si="4"/>
        <v>2133.1635519650895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10558.327544453028</v>
      </c>
      <c r="D46" s="717">
        <f t="shared" ref="D46:Q46" ca="1" si="5">SUM(D39:D45)</f>
        <v>0</v>
      </c>
      <c r="E46" s="717">
        <f t="shared" ca="1" si="5"/>
        <v>14154.800458476437</v>
      </c>
      <c r="F46" s="717">
        <f t="shared" si="5"/>
        <v>846.24905609314283</v>
      </c>
      <c r="G46" s="717">
        <f t="shared" ca="1" si="5"/>
        <v>13129.210393053092</v>
      </c>
      <c r="H46" s="717">
        <f t="shared" si="5"/>
        <v>0</v>
      </c>
      <c r="I46" s="717">
        <f t="shared" si="5"/>
        <v>0</v>
      </c>
      <c r="J46" s="717">
        <f t="shared" si="5"/>
        <v>0</v>
      </c>
      <c r="K46" s="717">
        <f t="shared" si="5"/>
        <v>82.393874649305502</v>
      </c>
      <c r="L46" s="717">
        <f t="shared" si="5"/>
        <v>0</v>
      </c>
      <c r="M46" s="717">
        <f t="shared" ca="1" si="5"/>
        <v>0</v>
      </c>
      <c r="N46" s="717">
        <f t="shared" si="5"/>
        <v>0</v>
      </c>
      <c r="O46" s="717">
        <f t="shared" ca="1" si="5"/>
        <v>0</v>
      </c>
      <c r="P46" s="717">
        <f t="shared" si="5"/>
        <v>0</v>
      </c>
      <c r="Q46" s="717">
        <f t="shared" si="5"/>
        <v>0</v>
      </c>
      <c r="R46" s="717">
        <f ca="1">SUM(R39:R45)</f>
        <v>38770.981326725007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3.9828746231194749</v>
      </c>
      <c r="D49" s="681">
        <f ca="1">transport!C58</f>
        <v>0</v>
      </c>
      <c r="E49" s="681">
        <f>transport!D58</f>
        <v>0</v>
      </c>
      <c r="F49" s="681">
        <f>transport!E58</f>
        <v>0</v>
      </c>
      <c r="G49" s="681">
        <f>transport!F58</f>
        <v>0</v>
      </c>
      <c r="H49" s="681">
        <f>transport!G58</f>
        <v>379.57912986468057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383.56200448780004</v>
      </c>
    </row>
    <row r="50" spans="1:18">
      <c r="A50" s="818" t="s">
        <v>301</v>
      </c>
      <c r="B50" s="828"/>
      <c r="C50" s="687">
        <f ca="1">transport!B18</f>
        <v>18.899545764075107</v>
      </c>
      <c r="D50" s="687">
        <f>transport!C18</f>
        <v>0</v>
      </c>
      <c r="E50" s="687">
        <f>transport!D18</f>
        <v>37.664714391428483</v>
      </c>
      <c r="F50" s="687">
        <f>transport!E18</f>
        <v>35.946580222925924</v>
      </c>
      <c r="G50" s="687">
        <f>transport!F18</f>
        <v>0</v>
      </c>
      <c r="H50" s="687">
        <f>transport!G18</f>
        <v>14879.752909847217</v>
      </c>
      <c r="I50" s="687">
        <f>transport!H18</f>
        <v>4097.4693641498225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19069.733114375467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22.882420387194582</v>
      </c>
      <c r="D52" s="717">
        <f t="shared" ref="D52:Q52" ca="1" si="6">SUM(D48:D51)</f>
        <v>0</v>
      </c>
      <c r="E52" s="717">
        <f t="shared" si="6"/>
        <v>37.664714391428483</v>
      </c>
      <c r="F52" s="717">
        <f t="shared" si="6"/>
        <v>35.946580222925924</v>
      </c>
      <c r="G52" s="717">
        <f t="shared" si="6"/>
        <v>0</v>
      </c>
      <c r="H52" s="717">
        <f t="shared" si="6"/>
        <v>15259.332039711897</v>
      </c>
      <c r="I52" s="717">
        <f t="shared" si="6"/>
        <v>4097.4693641498225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19453.295118863269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541.00333047957338</v>
      </c>
      <c r="D54" s="687">
        <f ca="1">+landbouw!C12</f>
        <v>0</v>
      </c>
      <c r="E54" s="687">
        <f>+landbouw!D12</f>
        <v>279.13327237892804</v>
      </c>
      <c r="F54" s="687">
        <f>+landbouw!E12</f>
        <v>18.882608413497046</v>
      </c>
      <c r="G54" s="687">
        <f>+landbouw!F12</f>
        <v>2515.0022008977303</v>
      </c>
      <c r="H54" s="687">
        <f>+landbouw!G12</f>
        <v>0</v>
      </c>
      <c r="I54" s="687">
        <f>+landbouw!H12</f>
        <v>0</v>
      </c>
      <c r="J54" s="687">
        <f>+landbouw!I12</f>
        <v>0</v>
      </c>
      <c r="K54" s="687">
        <f>+landbouw!J12</f>
        <v>259.94576533372793</v>
      </c>
      <c r="L54" s="687">
        <f>+landbouw!K12</f>
        <v>0</v>
      </c>
      <c r="M54" s="687">
        <f>+landbouw!L12</f>
        <v>0</v>
      </c>
      <c r="N54" s="687">
        <f>+landbouw!M12</f>
        <v>0</v>
      </c>
      <c r="O54" s="687">
        <f>+landbouw!N12</f>
        <v>0</v>
      </c>
      <c r="P54" s="687">
        <f>+landbouw!O12</f>
        <v>0</v>
      </c>
      <c r="Q54" s="688">
        <f>+landbouw!P12</f>
        <v>0</v>
      </c>
      <c r="R54" s="716">
        <f ca="1">SUM(C54:Q54)</f>
        <v>3613.9671775034567</v>
      </c>
    </row>
    <row r="55" spans="1:18" ht="15" thickBot="1">
      <c r="A55" s="818" t="s">
        <v>714</v>
      </c>
      <c r="B55" s="828"/>
      <c r="C55" s="687">
        <f ca="1">C25*'EF ele_warmte'!B12</f>
        <v>217.12456500787306</v>
      </c>
      <c r="D55" s="687"/>
      <c r="E55" s="687">
        <f>E25*EF_CO2_aardgas</f>
        <v>434.59108927199998</v>
      </c>
      <c r="F55" s="687"/>
      <c r="G55" s="687"/>
      <c r="H55" s="687"/>
      <c r="I55" s="687"/>
      <c r="J55" s="687"/>
      <c r="K55" s="687"/>
      <c r="L55" s="687"/>
      <c r="M55" s="687"/>
      <c r="N55" s="687"/>
      <c r="O55" s="687"/>
      <c r="P55" s="687"/>
      <c r="Q55" s="688"/>
      <c r="R55" s="716">
        <f ca="1">SUM(C55:Q55)</f>
        <v>651.71565427987298</v>
      </c>
    </row>
    <row r="56" spans="1:18" ht="15.75" thickBot="1">
      <c r="A56" s="816" t="s">
        <v>715</v>
      </c>
      <c r="B56" s="829"/>
      <c r="C56" s="717">
        <f ca="1">SUM(C54:C55)</f>
        <v>758.12789548744649</v>
      </c>
      <c r="D56" s="717">
        <f t="shared" ref="D56:Q56" ca="1" si="7">SUM(D54:D55)</f>
        <v>0</v>
      </c>
      <c r="E56" s="717">
        <f t="shared" si="7"/>
        <v>713.72436165092802</v>
      </c>
      <c r="F56" s="717">
        <f t="shared" si="7"/>
        <v>18.882608413497046</v>
      </c>
      <c r="G56" s="717">
        <f t="shared" si="7"/>
        <v>2515.0022008977303</v>
      </c>
      <c r="H56" s="717">
        <f t="shared" si="7"/>
        <v>0</v>
      </c>
      <c r="I56" s="717">
        <f t="shared" si="7"/>
        <v>0</v>
      </c>
      <c r="J56" s="717">
        <f t="shared" si="7"/>
        <v>0</v>
      </c>
      <c r="K56" s="717">
        <f t="shared" si="7"/>
        <v>259.94576533372793</v>
      </c>
      <c r="L56" s="717">
        <f t="shared" si="7"/>
        <v>0</v>
      </c>
      <c r="M56" s="717">
        <f t="shared" si="7"/>
        <v>0</v>
      </c>
      <c r="N56" s="717">
        <f t="shared" si="7"/>
        <v>0</v>
      </c>
      <c r="O56" s="717">
        <f t="shared" si="7"/>
        <v>0</v>
      </c>
      <c r="P56" s="717">
        <f t="shared" si="7"/>
        <v>0</v>
      </c>
      <c r="Q56" s="718">
        <f t="shared" si="7"/>
        <v>0</v>
      </c>
      <c r="R56" s="719">
        <f ca="1">SUM(R54:R55)</f>
        <v>4265.6828317833297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11339.337860327671</v>
      </c>
      <c r="D61" s="725">
        <f t="shared" ref="D61:Q61" ca="1" si="8">D46+D52+D56</f>
        <v>0</v>
      </c>
      <c r="E61" s="725">
        <f t="shared" ca="1" si="8"/>
        <v>14906.189534518793</v>
      </c>
      <c r="F61" s="725">
        <f t="shared" si="8"/>
        <v>901.07824472956577</v>
      </c>
      <c r="G61" s="725">
        <f t="shared" ca="1" si="8"/>
        <v>15644.212593950822</v>
      </c>
      <c r="H61" s="725">
        <f t="shared" si="8"/>
        <v>15259.332039711897</v>
      </c>
      <c r="I61" s="725">
        <f t="shared" si="8"/>
        <v>4097.4693641498225</v>
      </c>
      <c r="J61" s="725">
        <f t="shared" si="8"/>
        <v>0</v>
      </c>
      <c r="K61" s="725">
        <f t="shared" si="8"/>
        <v>342.33963998303341</v>
      </c>
      <c r="L61" s="725">
        <f t="shared" si="8"/>
        <v>0</v>
      </c>
      <c r="M61" s="725">
        <f t="shared" ca="1" si="8"/>
        <v>0</v>
      </c>
      <c r="N61" s="725">
        <f t="shared" si="8"/>
        <v>0</v>
      </c>
      <c r="O61" s="725">
        <f t="shared" ca="1" si="8"/>
        <v>0</v>
      </c>
      <c r="P61" s="725">
        <f t="shared" si="8"/>
        <v>0</v>
      </c>
      <c r="Q61" s="725">
        <f t="shared" si="8"/>
        <v>0</v>
      </c>
      <c r="R61" s="725">
        <f ca="1">R46+R52+R56</f>
        <v>62489.959277371599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0.20297987886076083</v>
      </c>
      <c r="D63" s="771">
        <f t="shared" ca="1" si="9"/>
        <v>0</v>
      </c>
      <c r="E63" s="969">
        <f t="shared" ca="1" si="9"/>
        <v>0.20199999999999999</v>
      </c>
      <c r="F63" s="771">
        <f t="shared" si="9"/>
        <v>0.22699999999999995</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4511.4733193424436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4555.1233193424432</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30944.486388183919</v>
      </c>
      <c r="C4" s="448">
        <f>huishoudens!C8</f>
        <v>0</v>
      </c>
      <c r="D4" s="448">
        <f>huishoudens!D8</f>
        <v>47836.339320220002</v>
      </c>
      <c r="E4" s="448">
        <f>huishoudens!E8</f>
        <v>2806.7141101246243</v>
      </c>
      <c r="F4" s="448">
        <f>huishoudens!F8</f>
        <v>45247.97226155462</v>
      </c>
      <c r="G4" s="448">
        <f>huishoudens!G8</f>
        <v>0</v>
      </c>
      <c r="H4" s="448">
        <f>huishoudens!H8</f>
        <v>0</v>
      </c>
      <c r="I4" s="448">
        <f>huishoudens!I8</f>
        <v>0</v>
      </c>
      <c r="J4" s="448">
        <f>huishoudens!J8</f>
        <v>180.76365428520216</v>
      </c>
      <c r="K4" s="448">
        <f>huishoudens!K8</f>
        <v>0</v>
      </c>
      <c r="L4" s="448">
        <f>huishoudens!L8</f>
        <v>0</v>
      </c>
      <c r="M4" s="448">
        <f>huishoudens!M8</f>
        <v>0</v>
      </c>
      <c r="N4" s="448">
        <f>huishoudens!N8</f>
        <v>9704.4186959863182</v>
      </c>
      <c r="O4" s="448">
        <f>huishoudens!O8</f>
        <v>253.94665208154007</v>
      </c>
      <c r="P4" s="449">
        <f>huishoudens!P8</f>
        <v>969.12425630702205</v>
      </c>
      <c r="Q4" s="450">
        <f>SUM(B4:P4)</f>
        <v>137943.76533874325</v>
      </c>
    </row>
    <row r="5" spans="1:17">
      <c r="A5" s="447" t="s">
        <v>155</v>
      </c>
      <c r="B5" s="448">
        <f ca="1">tertiair!B16</f>
        <v>15852.466305</v>
      </c>
      <c r="C5" s="448">
        <f ca="1">tertiair!C16</f>
        <v>0</v>
      </c>
      <c r="D5" s="448">
        <f ca="1">tertiair!D16</f>
        <v>19742.193595278004</v>
      </c>
      <c r="E5" s="448">
        <f>tertiair!E16</f>
        <v>239.77928195521122</v>
      </c>
      <c r="F5" s="448">
        <f ca="1">tertiair!F16</f>
        <v>1812.284423543922</v>
      </c>
      <c r="G5" s="448">
        <f>tertiair!G16</f>
        <v>0</v>
      </c>
      <c r="H5" s="448">
        <f>tertiair!H16</f>
        <v>0</v>
      </c>
      <c r="I5" s="448">
        <f>tertiair!I16</f>
        <v>0</v>
      </c>
      <c r="J5" s="448">
        <f>tertiair!J16</f>
        <v>3.7642597136813824E-2</v>
      </c>
      <c r="K5" s="448">
        <f>tertiair!K16</f>
        <v>0</v>
      </c>
      <c r="L5" s="448">
        <f ca="1">tertiair!L16</f>
        <v>0</v>
      </c>
      <c r="M5" s="448">
        <f>tertiair!M16</f>
        <v>0</v>
      </c>
      <c r="N5" s="448">
        <f ca="1">tertiair!N16</f>
        <v>1476.6386898832407</v>
      </c>
      <c r="O5" s="448">
        <f>tertiair!O16</f>
        <v>9.7945215316823084</v>
      </c>
      <c r="P5" s="449">
        <f>tertiair!P16</f>
        <v>52.539138306495019</v>
      </c>
      <c r="Q5" s="447">
        <f t="shared" ref="Q5:Q14" ca="1" si="0">SUM(B5:P5)</f>
        <v>39185.733598095685</v>
      </c>
    </row>
    <row r="6" spans="1:17">
      <c r="A6" s="447" t="s">
        <v>193</v>
      </c>
      <c r="B6" s="448">
        <f>'openbare verlichting'!B8</f>
        <v>825.048</v>
      </c>
      <c r="C6" s="448"/>
      <c r="D6" s="448"/>
      <c r="E6" s="448"/>
      <c r="F6" s="448"/>
      <c r="G6" s="448"/>
      <c r="H6" s="448"/>
      <c r="I6" s="448"/>
      <c r="J6" s="448"/>
      <c r="K6" s="448"/>
      <c r="L6" s="448"/>
      <c r="M6" s="448"/>
      <c r="N6" s="448"/>
      <c r="O6" s="448"/>
      <c r="P6" s="449"/>
      <c r="Q6" s="447">
        <f t="shared" si="0"/>
        <v>825.048</v>
      </c>
    </row>
    <row r="7" spans="1:17">
      <c r="A7" s="447" t="s">
        <v>111</v>
      </c>
      <c r="B7" s="448">
        <f>landbouw!B8</f>
        <v>2665.3052189999994</v>
      </c>
      <c r="C7" s="448">
        <f>landbouw!C8</f>
        <v>62.357142857142847</v>
      </c>
      <c r="D7" s="448">
        <f>landbouw!D8</f>
        <v>1381.8478830640001</v>
      </c>
      <c r="E7" s="448">
        <f>landbouw!E8</f>
        <v>83.183296975757912</v>
      </c>
      <c r="F7" s="448">
        <f>landbouw!F8</f>
        <v>9419.4838984933722</v>
      </c>
      <c r="G7" s="448">
        <f>landbouw!G8</f>
        <v>0</v>
      </c>
      <c r="H7" s="448">
        <f>landbouw!H8</f>
        <v>0</v>
      </c>
      <c r="I7" s="448">
        <f>landbouw!I8</f>
        <v>0</v>
      </c>
      <c r="J7" s="448">
        <f>landbouw!J8</f>
        <v>734.31007156420321</v>
      </c>
      <c r="K7" s="448">
        <f>landbouw!K8</f>
        <v>0</v>
      </c>
      <c r="L7" s="448">
        <f>landbouw!L8</f>
        <v>0</v>
      </c>
      <c r="M7" s="448">
        <f>landbouw!M8</f>
        <v>0</v>
      </c>
      <c r="N7" s="448">
        <f>landbouw!N8</f>
        <v>0</v>
      </c>
      <c r="O7" s="448">
        <f>landbouw!O8</f>
        <v>0</v>
      </c>
      <c r="P7" s="449">
        <f>landbouw!P8</f>
        <v>0</v>
      </c>
      <c r="Q7" s="447">
        <f t="shared" si="0"/>
        <v>14346.487511954476</v>
      </c>
    </row>
    <row r="8" spans="1:17">
      <c r="A8" s="447" t="s">
        <v>618</v>
      </c>
      <c r="B8" s="448">
        <f>industrie!B18</f>
        <v>4394.6208740000002</v>
      </c>
      <c r="C8" s="448">
        <f>industrie!C18</f>
        <v>0</v>
      </c>
      <c r="D8" s="448">
        <f>industrie!D18</f>
        <v>2494.7366809200003</v>
      </c>
      <c r="E8" s="448">
        <f>industrie!E18</f>
        <v>681.47601802211534</v>
      </c>
      <c r="F8" s="448">
        <f>industrie!F18</f>
        <v>2112.8159480591048</v>
      </c>
      <c r="G8" s="448">
        <f>industrie!G18</f>
        <v>0</v>
      </c>
      <c r="H8" s="448">
        <f>industrie!H18</f>
        <v>0</v>
      </c>
      <c r="I8" s="448">
        <f>industrie!I18</f>
        <v>0</v>
      </c>
      <c r="J8" s="448">
        <f>industrie!J18</f>
        <v>51.949761449032493</v>
      </c>
      <c r="K8" s="448">
        <f>industrie!K18</f>
        <v>0</v>
      </c>
      <c r="L8" s="448">
        <f>industrie!L18</f>
        <v>0</v>
      </c>
      <c r="M8" s="448">
        <f>industrie!M18</f>
        <v>0</v>
      </c>
      <c r="N8" s="448">
        <f>industrie!N18</f>
        <v>241.33385329424169</v>
      </c>
      <c r="O8" s="448">
        <f>industrie!O18</f>
        <v>0</v>
      </c>
      <c r="P8" s="449">
        <f>industrie!P18</f>
        <v>0</v>
      </c>
      <c r="Q8" s="447">
        <f t="shared" si="0"/>
        <v>9976.9331357444953</v>
      </c>
    </row>
    <row r="9" spans="1:17" s="453" customFormat="1">
      <c r="A9" s="451" t="s">
        <v>544</v>
      </c>
      <c r="B9" s="452">
        <f>transport!B14</f>
        <v>93.110439665991393</v>
      </c>
      <c r="C9" s="452">
        <f>transport!C14</f>
        <v>0</v>
      </c>
      <c r="D9" s="452">
        <f>transport!D14</f>
        <v>186.45898213578457</v>
      </c>
      <c r="E9" s="452">
        <f>transport!E14</f>
        <v>158.35497895562079</v>
      </c>
      <c r="F9" s="452">
        <f>transport!F14</f>
        <v>0</v>
      </c>
      <c r="G9" s="452">
        <f>transport!G14</f>
        <v>55729.411647367851</v>
      </c>
      <c r="H9" s="452">
        <f>transport!H14</f>
        <v>16455.700257629811</v>
      </c>
      <c r="I9" s="452">
        <f>transport!I14</f>
        <v>0</v>
      </c>
      <c r="J9" s="452">
        <f>transport!J14</f>
        <v>0</v>
      </c>
      <c r="K9" s="452">
        <f>transport!K14</f>
        <v>0</v>
      </c>
      <c r="L9" s="452">
        <f>transport!L14</f>
        <v>0</v>
      </c>
      <c r="M9" s="452">
        <f>transport!M14</f>
        <v>4301.8853327812531</v>
      </c>
      <c r="N9" s="452">
        <f>transport!N14</f>
        <v>0</v>
      </c>
      <c r="O9" s="452">
        <f>transport!O14</f>
        <v>0</v>
      </c>
      <c r="P9" s="452">
        <f>transport!P14</f>
        <v>0</v>
      </c>
      <c r="Q9" s="451">
        <f>SUM(B9:P9)</f>
        <v>76924.921638536311</v>
      </c>
    </row>
    <row r="10" spans="1:17">
      <c r="A10" s="447" t="s">
        <v>534</v>
      </c>
      <c r="B10" s="448">
        <f>transport!B54</f>
        <v>19.622016948052419</v>
      </c>
      <c r="C10" s="448">
        <f>transport!C54</f>
        <v>0</v>
      </c>
      <c r="D10" s="448">
        <f>transport!D54</f>
        <v>0</v>
      </c>
      <c r="E10" s="448">
        <f>transport!E54</f>
        <v>0</v>
      </c>
      <c r="F10" s="448">
        <f>transport!F54</f>
        <v>0</v>
      </c>
      <c r="G10" s="448">
        <f>transport!G54</f>
        <v>1421.6446811411256</v>
      </c>
      <c r="H10" s="448">
        <f>transport!H54</f>
        <v>0</v>
      </c>
      <c r="I10" s="448">
        <f>transport!I54</f>
        <v>0</v>
      </c>
      <c r="J10" s="448">
        <f>transport!J54</f>
        <v>0</v>
      </c>
      <c r="K10" s="448">
        <f>transport!K54</f>
        <v>0</v>
      </c>
      <c r="L10" s="448">
        <f>transport!L54</f>
        <v>0</v>
      </c>
      <c r="M10" s="448">
        <f>transport!M54</f>
        <v>80.412456824691375</v>
      </c>
      <c r="N10" s="448">
        <f>transport!N54</f>
        <v>0</v>
      </c>
      <c r="O10" s="448">
        <f>transport!O54</f>
        <v>0</v>
      </c>
      <c r="P10" s="449">
        <f>transport!P54</f>
        <v>0</v>
      </c>
      <c r="Q10" s="447">
        <f t="shared" si="0"/>
        <v>1521.6791549138695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1069.6851640000002</v>
      </c>
      <c r="C14" s="455"/>
      <c r="D14" s="455">
        <f>'SEAP template'!E25</f>
        <v>2151.4410359999997</v>
      </c>
      <c r="E14" s="455"/>
      <c r="F14" s="455"/>
      <c r="G14" s="455"/>
      <c r="H14" s="455"/>
      <c r="I14" s="455"/>
      <c r="J14" s="455"/>
      <c r="K14" s="455"/>
      <c r="L14" s="455"/>
      <c r="M14" s="455"/>
      <c r="N14" s="455"/>
      <c r="O14" s="455"/>
      <c r="P14" s="456"/>
      <c r="Q14" s="447">
        <f t="shared" si="0"/>
        <v>3221.1261999999997</v>
      </c>
    </row>
    <row r="15" spans="1:17" s="459" customFormat="1">
      <c r="A15" s="457" t="s">
        <v>538</v>
      </c>
      <c r="B15" s="458">
        <f ca="1">SUM(B4:B14)</f>
        <v>55864.344406797973</v>
      </c>
      <c r="C15" s="458">
        <f t="shared" ref="C15:Q15" ca="1" si="1">SUM(C4:C14)</f>
        <v>62.357142857142847</v>
      </c>
      <c r="D15" s="458">
        <f t="shared" ca="1" si="1"/>
        <v>73793.017497617795</v>
      </c>
      <c r="E15" s="458">
        <f t="shared" si="1"/>
        <v>3969.5076860333302</v>
      </c>
      <c r="F15" s="458">
        <f t="shared" ca="1" si="1"/>
        <v>58592.556531651018</v>
      </c>
      <c r="G15" s="458">
        <f t="shared" si="1"/>
        <v>57151.056328508974</v>
      </c>
      <c r="H15" s="458">
        <f t="shared" si="1"/>
        <v>16455.700257629811</v>
      </c>
      <c r="I15" s="458">
        <f t="shared" si="1"/>
        <v>0</v>
      </c>
      <c r="J15" s="458">
        <f t="shared" si="1"/>
        <v>967.06112989557471</v>
      </c>
      <c r="K15" s="458">
        <f t="shared" si="1"/>
        <v>0</v>
      </c>
      <c r="L15" s="458">
        <f t="shared" ca="1" si="1"/>
        <v>0</v>
      </c>
      <c r="M15" s="458">
        <f t="shared" si="1"/>
        <v>4382.2977896059447</v>
      </c>
      <c r="N15" s="458">
        <f t="shared" ca="1" si="1"/>
        <v>11422.3912391638</v>
      </c>
      <c r="O15" s="458">
        <f t="shared" si="1"/>
        <v>263.74117361322237</v>
      </c>
      <c r="P15" s="458">
        <f t="shared" si="1"/>
        <v>1021.6633946135171</v>
      </c>
      <c r="Q15" s="458">
        <f t="shared" ca="1" si="1"/>
        <v>283945.69457798812</v>
      </c>
    </row>
    <row r="17" spans="1:17">
      <c r="A17" s="460" t="s">
        <v>539</v>
      </c>
      <c r="B17" s="776">
        <f ca="1">huishoudens!B10</f>
        <v>0.20297987886076077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6281.1080984820328</v>
      </c>
      <c r="C22" s="448">
        <f t="shared" ref="C22:C32" ca="1" si="3">C4*$C$17</f>
        <v>0</v>
      </c>
      <c r="D22" s="448">
        <f t="shared" ref="D22:D32" si="4">D4*$D$17</f>
        <v>9662.9405426844405</v>
      </c>
      <c r="E22" s="448">
        <f t="shared" ref="E22:E32" si="5">E4*$E$17</f>
        <v>637.12410299828969</v>
      </c>
      <c r="F22" s="448">
        <f t="shared" ref="F22:F32" si="6">F4*$F$17</f>
        <v>12081.208593835085</v>
      </c>
      <c r="G22" s="448">
        <f t="shared" ref="G22:G32" si="7">G4*$G$17</f>
        <v>0</v>
      </c>
      <c r="H22" s="448">
        <f t="shared" ref="H22:H32" si="8">H4*$H$17</f>
        <v>0</v>
      </c>
      <c r="I22" s="448">
        <f t="shared" ref="I22:I32" si="9">I4*$I$17</f>
        <v>0</v>
      </c>
      <c r="J22" s="448">
        <f t="shared" ref="J22:J32" si="10">J4*$J$17</f>
        <v>63.990333616961564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28726.371671616809</v>
      </c>
    </row>
    <row r="23" spans="1:17">
      <c r="A23" s="447" t="s">
        <v>155</v>
      </c>
      <c r="B23" s="448">
        <f t="shared" ca="1" si="2"/>
        <v>3217.7316902331918</v>
      </c>
      <c r="C23" s="448">
        <f t="shared" ca="1" si="3"/>
        <v>0</v>
      </c>
      <c r="D23" s="448">
        <f t="shared" ca="1" si="4"/>
        <v>3987.9231062461572</v>
      </c>
      <c r="E23" s="448">
        <f t="shared" si="5"/>
        <v>54.429897003832949</v>
      </c>
      <c r="F23" s="448">
        <f t="shared" ca="1" si="6"/>
        <v>483.87994108622718</v>
      </c>
      <c r="G23" s="448">
        <f t="shared" si="7"/>
        <v>0</v>
      </c>
      <c r="H23" s="448">
        <f t="shared" si="8"/>
        <v>0</v>
      </c>
      <c r="I23" s="448">
        <f t="shared" si="9"/>
        <v>0</v>
      </c>
      <c r="J23" s="448">
        <f t="shared" si="10"/>
        <v>1.3325479386432092E-2</v>
      </c>
      <c r="K23" s="448">
        <f t="shared" si="11"/>
        <v>0</v>
      </c>
      <c r="L23" s="448">
        <f t="shared" ca="1" si="12"/>
        <v>0</v>
      </c>
      <c r="M23" s="448">
        <f t="shared" si="13"/>
        <v>0</v>
      </c>
      <c r="N23" s="448">
        <f t="shared" ca="1" si="14"/>
        <v>0</v>
      </c>
      <c r="O23" s="448">
        <f t="shared" si="15"/>
        <v>0</v>
      </c>
      <c r="P23" s="449">
        <f t="shared" si="16"/>
        <v>0</v>
      </c>
      <c r="Q23" s="447">
        <f t="shared" ref="Q23:Q31" ca="1" si="17">SUM(B23:P23)</f>
        <v>7743.9779600487955</v>
      </c>
    </row>
    <row r="24" spans="1:17">
      <c r="A24" s="447" t="s">
        <v>193</v>
      </c>
      <c r="B24" s="448">
        <f t="shared" ca="1" si="2"/>
        <v>167.46814309431295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167.46814309431295</v>
      </c>
    </row>
    <row r="25" spans="1:17">
      <c r="A25" s="447" t="s">
        <v>111</v>
      </c>
      <c r="B25" s="448">
        <f t="shared" ca="1" si="2"/>
        <v>541.00333047957338</v>
      </c>
      <c r="C25" s="448">
        <f t="shared" ca="1" si="3"/>
        <v>0</v>
      </c>
      <c r="D25" s="448">
        <f t="shared" si="4"/>
        <v>279.13327237892804</v>
      </c>
      <c r="E25" s="448">
        <f t="shared" si="5"/>
        <v>18.882608413497046</v>
      </c>
      <c r="F25" s="448">
        <f t="shared" si="6"/>
        <v>2515.0022008977303</v>
      </c>
      <c r="G25" s="448">
        <f t="shared" si="7"/>
        <v>0</v>
      </c>
      <c r="H25" s="448">
        <f t="shared" si="8"/>
        <v>0</v>
      </c>
      <c r="I25" s="448">
        <f t="shared" si="9"/>
        <v>0</v>
      </c>
      <c r="J25" s="448">
        <f t="shared" si="10"/>
        <v>259.94576533372793</v>
      </c>
      <c r="K25" s="448">
        <f t="shared" si="11"/>
        <v>0</v>
      </c>
      <c r="L25" s="448">
        <f t="shared" si="12"/>
        <v>0</v>
      </c>
      <c r="M25" s="448">
        <f t="shared" si="13"/>
        <v>0</v>
      </c>
      <c r="N25" s="448">
        <f t="shared" si="14"/>
        <v>0</v>
      </c>
      <c r="O25" s="448">
        <f t="shared" si="15"/>
        <v>0</v>
      </c>
      <c r="P25" s="449">
        <f t="shared" si="16"/>
        <v>0</v>
      </c>
      <c r="Q25" s="447">
        <f t="shared" ca="1" si="17"/>
        <v>3613.9671775034567</v>
      </c>
    </row>
    <row r="26" spans="1:17">
      <c r="A26" s="447" t="s">
        <v>618</v>
      </c>
      <c r="B26" s="448">
        <f t="shared" ca="1" si="2"/>
        <v>892.01961264349063</v>
      </c>
      <c r="C26" s="448">
        <f t="shared" ca="1" si="3"/>
        <v>0</v>
      </c>
      <c r="D26" s="448">
        <f t="shared" si="4"/>
        <v>503.93680954584011</v>
      </c>
      <c r="E26" s="448">
        <f t="shared" si="5"/>
        <v>154.69505609102018</v>
      </c>
      <c r="F26" s="448">
        <f t="shared" si="6"/>
        <v>564.12185813178098</v>
      </c>
      <c r="G26" s="448">
        <f t="shared" si="7"/>
        <v>0</v>
      </c>
      <c r="H26" s="448">
        <f t="shared" si="8"/>
        <v>0</v>
      </c>
      <c r="I26" s="448">
        <f t="shared" si="9"/>
        <v>0</v>
      </c>
      <c r="J26" s="448">
        <f t="shared" si="10"/>
        <v>18.390215552957503</v>
      </c>
      <c r="K26" s="448">
        <f t="shared" si="11"/>
        <v>0</v>
      </c>
      <c r="L26" s="448">
        <f t="shared" si="12"/>
        <v>0</v>
      </c>
      <c r="M26" s="448">
        <f t="shared" si="13"/>
        <v>0</v>
      </c>
      <c r="N26" s="448">
        <f t="shared" si="14"/>
        <v>0</v>
      </c>
      <c r="O26" s="448">
        <f t="shared" si="15"/>
        <v>0</v>
      </c>
      <c r="P26" s="449">
        <f t="shared" si="16"/>
        <v>0</v>
      </c>
      <c r="Q26" s="447">
        <f t="shared" ca="1" si="17"/>
        <v>2133.1635519650895</v>
      </c>
    </row>
    <row r="27" spans="1:17" s="453" customFormat="1">
      <c r="A27" s="451" t="s">
        <v>544</v>
      </c>
      <c r="B27" s="770">
        <f t="shared" ca="1" si="2"/>
        <v>18.899545764075107</v>
      </c>
      <c r="C27" s="452">
        <f t="shared" ca="1" si="3"/>
        <v>0</v>
      </c>
      <c r="D27" s="452">
        <f t="shared" si="4"/>
        <v>37.664714391428483</v>
      </c>
      <c r="E27" s="452">
        <f t="shared" si="5"/>
        <v>35.946580222925924</v>
      </c>
      <c r="F27" s="452">
        <f t="shared" si="6"/>
        <v>0</v>
      </c>
      <c r="G27" s="452">
        <f t="shared" si="7"/>
        <v>14879.752909847217</v>
      </c>
      <c r="H27" s="452">
        <f t="shared" si="8"/>
        <v>4097.4693641498225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19069.733114375467</v>
      </c>
    </row>
    <row r="28" spans="1:17" ht="16.5" customHeight="1">
      <c r="A28" s="447" t="s">
        <v>534</v>
      </c>
      <c r="B28" s="448">
        <f t="shared" ca="1" si="2"/>
        <v>3.9828746231194749</v>
      </c>
      <c r="C28" s="448">
        <f t="shared" ca="1" si="3"/>
        <v>0</v>
      </c>
      <c r="D28" s="448">
        <f t="shared" si="4"/>
        <v>0</v>
      </c>
      <c r="E28" s="448">
        <f t="shared" si="5"/>
        <v>0</v>
      </c>
      <c r="F28" s="448">
        <f t="shared" si="6"/>
        <v>0</v>
      </c>
      <c r="G28" s="448">
        <f t="shared" si="7"/>
        <v>379.57912986468057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383.56200448780004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217.12456500787306</v>
      </c>
      <c r="C32" s="448">
        <f t="shared" ca="1" si="3"/>
        <v>0</v>
      </c>
      <c r="D32" s="448">
        <f t="shared" si="4"/>
        <v>434.59108927199998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651.71565427987298</v>
      </c>
    </row>
    <row r="33" spans="1:17" s="459" customFormat="1">
      <c r="A33" s="457" t="s">
        <v>538</v>
      </c>
      <c r="B33" s="458">
        <f ca="1">SUM(B22:B32)</f>
        <v>11339.337860327669</v>
      </c>
      <c r="C33" s="458">
        <f t="shared" ref="C33:Q33" ca="1" si="19">SUM(C22:C32)</f>
        <v>0</v>
      </c>
      <c r="D33" s="458">
        <f t="shared" ca="1" si="19"/>
        <v>14906.189534518793</v>
      </c>
      <c r="E33" s="458">
        <f t="shared" si="19"/>
        <v>901.07824472956577</v>
      </c>
      <c r="F33" s="458">
        <f t="shared" ca="1" si="19"/>
        <v>15644.212593950822</v>
      </c>
      <c r="G33" s="458">
        <f t="shared" si="19"/>
        <v>15259.332039711897</v>
      </c>
      <c r="H33" s="458">
        <f t="shared" si="19"/>
        <v>4097.4693641498225</v>
      </c>
      <c r="I33" s="458">
        <f t="shared" si="19"/>
        <v>0</v>
      </c>
      <c r="J33" s="458">
        <f t="shared" si="19"/>
        <v>342.33963998303346</v>
      </c>
      <c r="K33" s="458">
        <f t="shared" si="19"/>
        <v>0</v>
      </c>
      <c r="L33" s="458">
        <f t="shared" ca="1" si="19"/>
        <v>0</v>
      </c>
      <c r="M33" s="458">
        <f t="shared" si="19"/>
        <v>0</v>
      </c>
      <c r="N33" s="458">
        <f t="shared" ca="1" si="19"/>
        <v>0</v>
      </c>
      <c r="O33" s="458">
        <f t="shared" si="19"/>
        <v>0</v>
      </c>
      <c r="P33" s="458">
        <f t="shared" si="19"/>
        <v>0</v>
      </c>
      <c r="Q33" s="458">
        <f t="shared" ca="1" si="19"/>
        <v>62489.959277371614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4511.4733193424436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4555.1233193424432</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0.20297987886076077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0.20297987886076077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0.20297987886076077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0.20297987886076077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6841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2281.25</v>
      </c>
      <c r="C14" s="326"/>
      <c r="D14" s="326"/>
      <c r="E14" s="326"/>
      <c r="F14" s="326"/>
    </row>
    <row r="15" spans="1:6">
      <c r="A15" s="1298" t="s">
        <v>183</v>
      </c>
      <c r="B15" s="1299">
        <v>33</v>
      </c>
      <c r="C15" s="326"/>
      <c r="D15" s="326"/>
      <c r="E15" s="326"/>
      <c r="F15" s="326"/>
    </row>
    <row r="16" spans="1:6">
      <c r="A16" s="1298" t="s">
        <v>6</v>
      </c>
      <c r="B16" s="1299">
        <v>1331</v>
      </c>
      <c r="C16" s="326"/>
      <c r="D16" s="326"/>
      <c r="E16" s="326"/>
      <c r="F16" s="326"/>
    </row>
    <row r="17" spans="1:6">
      <c r="A17" s="1298" t="s">
        <v>7</v>
      </c>
      <c r="B17" s="1299">
        <v>540</v>
      </c>
      <c r="C17" s="326"/>
      <c r="D17" s="326"/>
      <c r="E17" s="326"/>
      <c r="F17" s="326"/>
    </row>
    <row r="18" spans="1:6">
      <c r="A18" s="1298" t="s">
        <v>8</v>
      </c>
      <c r="B18" s="1299">
        <v>994</v>
      </c>
      <c r="C18" s="326"/>
      <c r="D18" s="326"/>
      <c r="E18" s="326"/>
      <c r="F18" s="326"/>
    </row>
    <row r="19" spans="1:6">
      <c r="A19" s="1298" t="s">
        <v>9</v>
      </c>
      <c r="B19" s="1299">
        <v>961</v>
      </c>
      <c r="C19" s="326"/>
      <c r="D19" s="326"/>
      <c r="E19" s="326"/>
      <c r="F19" s="326"/>
    </row>
    <row r="20" spans="1:6">
      <c r="A20" s="1298" t="s">
        <v>10</v>
      </c>
      <c r="B20" s="1299">
        <v>662</v>
      </c>
      <c r="C20" s="326"/>
      <c r="D20" s="326"/>
      <c r="E20" s="326"/>
      <c r="F20" s="326"/>
    </row>
    <row r="21" spans="1:6">
      <c r="A21" s="1298" t="s">
        <v>11</v>
      </c>
      <c r="B21" s="1299">
        <v>324</v>
      </c>
      <c r="C21" s="326"/>
      <c r="D21" s="326"/>
      <c r="E21" s="326"/>
      <c r="F21" s="326"/>
    </row>
    <row r="22" spans="1:6">
      <c r="A22" s="1298" t="s">
        <v>12</v>
      </c>
      <c r="B22" s="1299">
        <v>2053</v>
      </c>
      <c r="C22" s="326"/>
      <c r="D22" s="326"/>
      <c r="E22" s="326"/>
      <c r="F22" s="326"/>
    </row>
    <row r="23" spans="1:6">
      <c r="A23" s="1298" t="s">
        <v>13</v>
      </c>
      <c r="B23" s="1299">
        <v>13</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262</v>
      </c>
      <c r="C26" s="326"/>
      <c r="D26" s="326"/>
      <c r="E26" s="326"/>
      <c r="F26" s="326"/>
    </row>
    <row r="27" spans="1:6">
      <c r="A27" s="1298" t="s">
        <v>17</v>
      </c>
      <c r="B27" s="1299">
        <v>5</v>
      </c>
      <c r="C27" s="326"/>
      <c r="D27" s="326"/>
      <c r="E27" s="326"/>
      <c r="F27" s="326"/>
    </row>
    <row r="28" spans="1:6" s="43" customFormat="1">
      <c r="A28" s="1300" t="s">
        <v>18</v>
      </c>
      <c r="B28" s="1301">
        <v>111241</v>
      </c>
      <c r="C28" s="332"/>
      <c r="D28" s="332"/>
      <c r="E28" s="332"/>
      <c r="F28" s="332"/>
    </row>
    <row r="29" spans="1:6">
      <c r="A29" s="1300" t="s">
        <v>695</v>
      </c>
      <c r="B29" s="1301">
        <v>89</v>
      </c>
      <c r="C29" s="332"/>
      <c r="D29" s="332"/>
      <c r="E29" s="332"/>
      <c r="F29" s="332"/>
    </row>
    <row r="30" spans="1:6">
      <c r="A30" s="1293" t="s">
        <v>696</v>
      </c>
      <c r="B30" s="1302">
        <v>33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7243</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9011</v>
      </c>
    </row>
    <row r="39" spans="1:6">
      <c r="A39" s="1298" t="s">
        <v>29</v>
      </c>
      <c r="B39" s="1298" t="s">
        <v>30</v>
      </c>
      <c r="C39" s="1299">
        <v>3679</v>
      </c>
      <c r="D39" s="1299">
        <v>53033635.609999999</v>
      </c>
      <c r="E39" s="1299">
        <v>6726</v>
      </c>
      <c r="F39" s="1299">
        <v>27432989.600000001</v>
      </c>
    </row>
    <row r="40" spans="1:6">
      <c r="A40" s="1298" t="s">
        <v>29</v>
      </c>
      <c r="B40" s="1298" t="s">
        <v>28</v>
      </c>
      <c r="C40" s="1299">
        <v>0</v>
      </c>
      <c r="D40" s="1299">
        <v>0</v>
      </c>
      <c r="E40" s="1299">
        <v>0</v>
      </c>
      <c r="F40" s="1299">
        <v>0</v>
      </c>
    </row>
    <row r="41" spans="1:6">
      <c r="A41" s="1298" t="s">
        <v>31</v>
      </c>
      <c r="B41" s="1298" t="s">
        <v>32</v>
      </c>
      <c r="C41" s="1299">
        <v>34</v>
      </c>
      <c r="D41" s="1299">
        <v>1007820.876</v>
      </c>
      <c r="E41" s="1299">
        <v>116</v>
      </c>
      <c r="F41" s="1299">
        <v>2250636.8309999998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43256.103999999999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126082.34699999999</v>
      </c>
      <c r="E47" s="1299">
        <v>7</v>
      </c>
      <c r="F47" s="1299">
        <v>385004.91800000001</v>
      </c>
    </row>
    <row r="48" spans="1:6">
      <c r="A48" s="1298" t="s">
        <v>31</v>
      </c>
      <c r="B48" s="1298" t="s">
        <v>28</v>
      </c>
      <c r="C48" s="1299">
        <v>27</v>
      </c>
      <c r="D48" s="1299">
        <v>1062446.1000000001</v>
      </c>
      <c r="E48" s="1299">
        <v>42</v>
      </c>
      <c r="F48" s="1299">
        <v>1184397.084</v>
      </c>
    </row>
    <row r="49" spans="1:6">
      <c r="A49" s="1298" t="s">
        <v>31</v>
      </c>
      <c r="B49" s="1298" t="s">
        <v>39</v>
      </c>
      <c r="C49" s="1299">
        <v>0</v>
      </c>
      <c r="D49" s="1299">
        <v>0</v>
      </c>
      <c r="E49" s="1299">
        <v>0</v>
      </c>
      <c r="F49" s="1299">
        <v>0</v>
      </c>
    </row>
    <row r="50" spans="1:6">
      <c r="A50" s="1298" t="s">
        <v>31</v>
      </c>
      <c r="B50" s="1298" t="s">
        <v>40</v>
      </c>
      <c r="C50" s="1299">
        <v>8</v>
      </c>
      <c r="D50" s="1299">
        <v>569434.13699999999</v>
      </c>
      <c r="E50" s="1299">
        <v>9</v>
      </c>
      <c r="F50" s="1299">
        <v>531325.93700000003</v>
      </c>
    </row>
    <row r="51" spans="1:6">
      <c r="A51" s="1298" t="s">
        <v>41</v>
      </c>
      <c r="B51" s="1298" t="s">
        <v>42</v>
      </c>
      <c r="C51" s="1299">
        <v>0</v>
      </c>
      <c r="D51" s="1299">
        <v>0</v>
      </c>
      <c r="E51" s="1299">
        <v>88</v>
      </c>
      <c r="F51" s="1299">
        <v>2410439.6039999998</v>
      </c>
    </row>
    <row r="52" spans="1:6">
      <c r="A52" s="1298" t="s">
        <v>41</v>
      </c>
      <c r="B52" s="1298" t="s">
        <v>28</v>
      </c>
      <c r="C52" s="1299">
        <v>8</v>
      </c>
      <c r="D52" s="1299">
        <v>1531982.132</v>
      </c>
      <c r="E52" s="1299">
        <v>13</v>
      </c>
      <c r="F52" s="1299">
        <v>254865.61499999999</v>
      </c>
    </row>
    <row r="53" spans="1:6">
      <c r="A53" s="1298" t="s">
        <v>43</v>
      </c>
      <c r="B53" s="1298" t="s">
        <v>44</v>
      </c>
      <c r="C53" s="1299">
        <v>117</v>
      </c>
      <c r="D53" s="1299">
        <v>2151441.0359999998</v>
      </c>
      <c r="E53" s="1299">
        <v>304</v>
      </c>
      <c r="F53" s="1299">
        <v>1069685.1640000001</v>
      </c>
    </row>
    <row r="54" spans="1:6">
      <c r="A54" s="1298" t="s">
        <v>45</v>
      </c>
      <c r="B54" s="1298" t="s">
        <v>46</v>
      </c>
      <c r="C54" s="1299">
        <v>0</v>
      </c>
      <c r="D54" s="1299">
        <v>0</v>
      </c>
      <c r="E54" s="1299">
        <v>1</v>
      </c>
      <c r="F54" s="1299">
        <v>825048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46</v>
      </c>
      <c r="D57" s="1299">
        <v>2327561.4610000001</v>
      </c>
      <c r="E57" s="1299">
        <v>80</v>
      </c>
      <c r="F57" s="1299">
        <v>1866649.254</v>
      </c>
    </row>
    <row r="58" spans="1:6">
      <c r="A58" s="1298" t="s">
        <v>48</v>
      </c>
      <c r="B58" s="1298" t="s">
        <v>50</v>
      </c>
      <c r="C58" s="1299">
        <v>21</v>
      </c>
      <c r="D58" s="1299">
        <v>465599.77500000002</v>
      </c>
      <c r="E58" s="1299">
        <v>43</v>
      </c>
      <c r="F58" s="1299">
        <v>250208.7</v>
      </c>
    </row>
    <row r="59" spans="1:6">
      <c r="A59" s="1298" t="s">
        <v>48</v>
      </c>
      <c r="B59" s="1298" t="s">
        <v>51</v>
      </c>
      <c r="C59" s="1299">
        <v>80</v>
      </c>
      <c r="D59" s="1299">
        <v>3611218.1660000002</v>
      </c>
      <c r="E59" s="1299">
        <v>227</v>
      </c>
      <c r="F59" s="1299">
        <v>5661079.6579999998</v>
      </c>
    </row>
    <row r="60" spans="1:6">
      <c r="A60" s="1298" t="s">
        <v>48</v>
      </c>
      <c r="B60" s="1298" t="s">
        <v>52</v>
      </c>
      <c r="C60" s="1299">
        <v>43</v>
      </c>
      <c r="D60" s="1299">
        <v>1693202.22</v>
      </c>
      <c r="E60" s="1299">
        <v>77</v>
      </c>
      <c r="F60" s="1299">
        <v>1253695.615</v>
      </c>
    </row>
    <row r="61" spans="1:6">
      <c r="A61" s="1298" t="s">
        <v>48</v>
      </c>
      <c r="B61" s="1298" t="s">
        <v>53</v>
      </c>
      <c r="C61" s="1299">
        <v>109</v>
      </c>
      <c r="D61" s="1299">
        <v>5908177.3959999997</v>
      </c>
      <c r="E61" s="1299">
        <v>335</v>
      </c>
      <c r="F61" s="1299">
        <v>3653474.9449999998</v>
      </c>
    </row>
    <row r="62" spans="1:6">
      <c r="A62" s="1298" t="s">
        <v>48</v>
      </c>
      <c r="B62" s="1298" t="s">
        <v>54</v>
      </c>
      <c r="C62" s="1299">
        <v>7</v>
      </c>
      <c r="D62" s="1299">
        <v>1064751.932</v>
      </c>
      <c r="E62" s="1299">
        <v>4</v>
      </c>
      <c r="F62" s="1299">
        <v>60433.103999999999</v>
      </c>
    </row>
    <row r="63" spans="1:6">
      <c r="A63" s="1298" t="s">
        <v>48</v>
      </c>
      <c r="B63" s="1298" t="s">
        <v>28</v>
      </c>
      <c r="C63" s="1299">
        <v>86</v>
      </c>
      <c r="D63" s="1299">
        <v>6816621.6390000004</v>
      </c>
      <c r="E63" s="1299">
        <v>83</v>
      </c>
      <c r="F63" s="1299">
        <v>3106925.0290000001</v>
      </c>
    </row>
    <row r="64" spans="1:6">
      <c r="A64" s="1298" t="s">
        <v>55</v>
      </c>
      <c r="B64" s="1298" t="s">
        <v>56</v>
      </c>
      <c r="C64" s="1299">
        <v>0</v>
      </c>
      <c r="D64" s="1299">
        <v>0</v>
      </c>
      <c r="E64" s="1299">
        <v>0</v>
      </c>
      <c r="F64" s="1299">
        <v>0</v>
      </c>
    </row>
    <row r="65" spans="1:6">
      <c r="A65" s="1298" t="s">
        <v>55</v>
      </c>
      <c r="B65" s="1298" t="s">
        <v>28</v>
      </c>
      <c r="C65" s="1299">
        <v>2</v>
      </c>
      <c r="D65" s="1299">
        <v>44617.927000000003</v>
      </c>
      <c r="E65" s="1299">
        <v>5</v>
      </c>
      <c r="F65" s="1299">
        <v>11932.574000000001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5</v>
      </c>
      <c r="D68" s="1302">
        <v>223403.109</v>
      </c>
      <c r="E68" s="1302">
        <v>19</v>
      </c>
      <c r="F68" s="1302">
        <v>123088.223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32795993</v>
      </c>
      <c r="E73" s="446"/>
      <c r="F73" s="326"/>
    </row>
    <row r="74" spans="1:6">
      <c r="A74" s="1298" t="s">
        <v>63</v>
      </c>
      <c r="B74" s="1298" t="s">
        <v>639</v>
      </c>
      <c r="C74" s="1312" t="s">
        <v>641</v>
      </c>
      <c r="D74" s="1313">
        <v>921756.5</v>
      </c>
      <c r="E74" s="446"/>
      <c r="F74" s="326"/>
    </row>
    <row r="75" spans="1:6">
      <c r="A75" s="1298" t="s">
        <v>64</v>
      </c>
      <c r="B75" s="1298" t="s">
        <v>638</v>
      </c>
      <c r="C75" s="1312" t="s">
        <v>642</v>
      </c>
      <c r="D75" s="1313">
        <v>52809876</v>
      </c>
      <c r="E75" s="446"/>
      <c r="F75" s="326"/>
    </row>
    <row r="76" spans="1:6">
      <c r="A76" s="1298" t="s">
        <v>64</v>
      </c>
      <c r="B76" s="1298" t="s">
        <v>639</v>
      </c>
      <c r="C76" s="1312" t="s">
        <v>643</v>
      </c>
      <c r="D76" s="1313">
        <v>1935180.5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416971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3511.4967881839193</v>
      </c>
      <c r="C91" s="326"/>
      <c r="D91" s="326"/>
      <c r="E91" s="326"/>
      <c r="F91" s="326"/>
    </row>
    <row r="92" spans="1:6">
      <c r="A92" s="1293" t="s">
        <v>68</v>
      </c>
      <c r="B92" s="1294">
        <v>999.97653115852438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1490</v>
      </c>
      <c r="C97" s="326"/>
      <c r="D97" s="326"/>
      <c r="E97" s="326"/>
      <c r="F97" s="326"/>
    </row>
    <row r="98" spans="1:6">
      <c r="A98" s="1298" t="s">
        <v>71</v>
      </c>
      <c r="B98" s="1299">
        <v>2</v>
      </c>
      <c r="C98" s="326"/>
      <c r="D98" s="326"/>
      <c r="E98" s="326"/>
      <c r="F98" s="326"/>
    </row>
    <row r="99" spans="1:6">
      <c r="A99" s="1298" t="s">
        <v>72</v>
      </c>
      <c r="B99" s="1299">
        <v>41</v>
      </c>
      <c r="C99" s="326"/>
      <c r="D99" s="326"/>
      <c r="E99" s="326"/>
      <c r="F99" s="326"/>
    </row>
    <row r="100" spans="1:6">
      <c r="A100" s="1298" t="s">
        <v>73</v>
      </c>
      <c r="B100" s="1299">
        <v>697</v>
      </c>
      <c r="C100" s="326"/>
      <c r="D100" s="326"/>
      <c r="E100" s="326"/>
      <c r="F100" s="326"/>
    </row>
    <row r="101" spans="1:6">
      <c r="A101" s="1298" t="s">
        <v>74</v>
      </c>
      <c r="B101" s="1299">
        <v>39</v>
      </c>
      <c r="C101" s="326"/>
      <c r="D101" s="326"/>
      <c r="E101" s="326"/>
      <c r="F101" s="326"/>
    </row>
    <row r="102" spans="1:6">
      <c r="A102" s="1298" t="s">
        <v>75</v>
      </c>
      <c r="B102" s="1299">
        <v>62</v>
      </c>
      <c r="C102" s="326"/>
      <c r="D102" s="326"/>
      <c r="E102" s="326"/>
      <c r="F102" s="326"/>
    </row>
    <row r="103" spans="1:6">
      <c r="A103" s="1298" t="s">
        <v>76</v>
      </c>
      <c r="B103" s="1299">
        <v>137</v>
      </c>
      <c r="C103" s="326"/>
      <c r="D103" s="326"/>
      <c r="E103" s="326"/>
      <c r="F103" s="326"/>
    </row>
    <row r="104" spans="1:6">
      <c r="A104" s="1298" t="s">
        <v>77</v>
      </c>
      <c r="B104" s="1299">
        <v>3027</v>
      </c>
      <c r="C104" s="326"/>
      <c r="D104" s="326"/>
      <c r="E104" s="326"/>
      <c r="F104" s="326"/>
    </row>
    <row r="105" spans="1:6">
      <c r="A105" s="1293" t="s">
        <v>78</v>
      </c>
      <c r="B105" s="1302">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44</v>
      </c>
      <c r="C123" s="1299">
        <v>20</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107</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47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55864.344406797958</v>
      </c>
      <c r="C3" s="43" t="s">
        <v>169</v>
      </c>
      <c r="D3" s="43"/>
      <c r="E3" s="154"/>
      <c r="F3" s="43"/>
      <c r="G3" s="43"/>
      <c r="H3" s="43"/>
      <c r="I3" s="43"/>
      <c r="J3" s="43"/>
      <c r="K3" s="96"/>
    </row>
    <row r="4" spans="1:11">
      <c r="A4" s="354" t="s">
        <v>170</v>
      </c>
      <c r="B4" s="49">
        <f>IF(ISERROR('SEAP template'!B78+'SEAP template'!C78),0,'SEAP template'!B78+'SEAP template'!C78)</f>
        <v>4555.1233193424432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0.20297987886076077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825.048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825.048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0.20297987886076077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167.46814309431295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27432.989600000001</v>
      </c>
      <c r="C5" s="17">
        <f>IF(ISERROR('Eigen informatie GS &amp; warmtenet'!B59),0,'Eigen informatie GS &amp; warmtenet'!B59)</f>
        <v>0</v>
      </c>
      <c r="D5" s="30">
        <f>(SUM(HH_hh_gas_kWh,HH_rest_gas_kWh)/1000)*0.902</f>
        <v>47836.339320220002</v>
      </c>
      <c r="E5" s="17">
        <f>B32*B41</f>
        <v>2806.7141101246243</v>
      </c>
      <c r="F5" s="17">
        <f>B36*B45</f>
        <v>45247.97226155462</v>
      </c>
      <c r="G5" s="18"/>
      <c r="H5" s="17"/>
      <c r="I5" s="17"/>
      <c r="J5" s="17">
        <f>B35*B44+C35*C44</f>
        <v>180.76365428520216</v>
      </c>
      <c r="K5" s="17"/>
      <c r="L5" s="17"/>
      <c r="M5" s="17"/>
      <c r="N5" s="17">
        <f>B34*B43+C34*C43</f>
        <v>9704.4186959863182</v>
      </c>
      <c r="O5" s="17">
        <f>B52*B53*B54</f>
        <v>253.94665208154007</v>
      </c>
      <c r="P5" s="17">
        <f>B60*B61*B62/1000-B60*B61*B62/1000/B63</f>
        <v>969.12425630702205</v>
      </c>
    </row>
    <row r="6" spans="1:16">
      <c r="A6" s="16" t="s">
        <v>604</v>
      </c>
      <c r="B6" s="778">
        <f>kWh_PV_kleiner_dan_10kW</f>
        <v>3511.4967881839193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30944.486388183919</v>
      </c>
      <c r="C8" s="21">
        <f>C5</f>
        <v>0</v>
      </c>
      <c r="D8" s="21">
        <f>D5</f>
        <v>47836.339320220002</v>
      </c>
      <c r="E8" s="21">
        <f>E5</f>
        <v>2806.7141101246243</v>
      </c>
      <c r="F8" s="21">
        <f>F5</f>
        <v>45247.97226155462</v>
      </c>
      <c r="G8" s="21"/>
      <c r="H8" s="21"/>
      <c r="I8" s="21"/>
      <c r="J8" s="21">
        <f>J5</f>
        <v>180.76365428520216</v>
      </c>
      <c r="K8" s="21"/>
      <c r="L8" s="21">
        <f>L5</f>
        <v>0</v>
      </c>
      <c r="M8" s="21">
        <f>M5</f>
        <v>0</v>
      </c>
      <c r="N8" s="21">
        <f>N5</f>
        <v>9704.4186959863182</v>
      </c>
      <c r="O8" s="21">
        <f>O5</f>
        <v>253.94665208154007</v>
      </c>
      <c r="P8" s="21">
        <f>P5</f>
        <v>969.12425630702205</v>
      </c>
    </row>
    <row r="9" spans="1:16">
      <c r="B9" s="19"/>
      <c r="C9" s="19"/>
      <c r="D9" s="256"/>
      <c r="E9" s="19"/>
      <c r="F9" s="19"/>
      <c r="G9" s="19"/>
      <c r="H9" s="19"/>
      <c r="I9" s="19"/>
      <c r="J9" s="19"/>
      <c r="K9" s="19"/>
      <c r="L9" s="19"/>
      <c r="M9" s="19"/>
      <c r="N9" s="19"/>
      <c r="O9" s="19"/>
      <c r="P9" s="19"/>
    </row>
    <row r="10" spans="1:16">
      <c r="A10" s="24" t="s">
        <v>213</v>
      </c>
      <c r="B10" s="25">
        <f ca="1">'EF ele_warmte'!B12</f>
        <v>0.20297987886076077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6281.1080984820328</v>
      </c>
      <c r="C12" s="23">
        <f ca="1">C10*C8</f>
        <v>0</v>
      </c>
      <c r="D12" s="23">
        <f>D8*D10</f>
        <v>9662.9405426844405</v>
      </c>
      <c r="E12" s="23">
        <f>E10*E8</f>
        <v>637.12410299828969</v>
      </c>
      <c r="F12" s="23">
        <f>F10*F8</f>
        <v>12081.208593835085</v>
      </c>
      <c r="G12" s="23"/>
      <c r="H12" s="23"/>
      <c r="I12" s="23"/>
      <c r="J12" s="23">
        <f>J10*J8</f>
        <v>63.990333616961564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6841</v>
      </c>
      <c r="C26" s="36"/>
      <c r="D26" s="226"/>
    </row>
    <row r="27" spans="1:7" s="15" customFormat="1">
      <c r="A27" s="228" t="s">
        <v>806</v>
      </c>
      <c r="B27" s="37">
        <f>SUM(HH_hh_gas_aantal,HH_rest_gas_aantal)</f>
        <v>3679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3495.05</v>
      </c>
      <c r="C31" s="166" t="s">
        <v>110</v>
      </c>
      <c r="D31" s="231"/>
      <c r="G31" s="15"/>
    </row>
    <row r="32" spans="1:7">
      <c r="A32" s="169" t="s">
        <v>72</v>
      </c>
      <c r="B32" s="166">
        <f>IF((B21*($B$26-($B$27-0.05*$B$27)-$B$60))&lt;0,0,B21*($B$26-($B$27-0.05*$B$27)-$B$60))</f>
        <v>51.65710279012881</v>
      </c>
      <c r="C32" s="166" t="s">
        <v>110</v>
      </c>
      <c r="D32" s="231"/>
      <c r="G32" s="15"/>
    </row>
    <row r="33" spans="1:7">
      <c r="A33" s="169" t="s">
        <v>73</v>
      </c>
      <c r="B33" s="166">
        <f>IF((B22*($B$26-($B$27-0.05*$B$27)-$B$60))&lt;0,0,B22*($B$26-($B$27-0.05*$B$27)-$B$60))</f>
        <v>838.80904129669466</v>
      </c>
      <c r="C33" s="166" t="s">
        <v>110</v>
      </c>
      <c r="D33" s="231"/>
      <c r="G33" s="15"/>
    </row>
    <row r="34" spans="1:7">
      <c r="A34" s="169" t="s">
        <v>74</v>
      </c>
      <c r="B34" s="166">
        <f>IF((B24*($B$26-($B$27-0.05*$B$27)-$B$60))&lt;0,0,B24*($B$26-($B$27-0.05*$B$27)-$B$60))</f>
        <v>160.81091854845485</v>
      </c>
      <c r="C34" s="166">
        <f>B26*C24</f>
        <v>1401.7615342165686</v>
      </c>
      <c r="D34" s="231"/>
      <c r="G34" s="15"/>
    </row>
    <row r="35" spans="1:7">
      <c r="A35" s="169" t="s">
        <v>76</v>
      </c>
      <c r="B35" s="166">
        <f>IF((B19*($B$26-($B$27-0.05*$B$27)-$B$60))&lt;0,0,B19*($B$26-($B$27-0.05*$B$27)-$B$60))</f>
        <v>22.455219428965048</v>
      </c>
      <c r="C35" s="166">
        <f>B35/2</f>
        <v>11.227609714482524</v>
      </c>
      <c r="D35" s="232"/>
      <c r="G35" s="15"/>
    </row>
    <row r="36" spans="1:7">
      <c r="A36" s="169" t="s">
        <v>77</v>
      </c>
      <c r="B36" s="166">
        <f>IF((B18*($B$26-($B$27-0.05*$B$27)-$B$60))&lt;0,0,B18*($B$26-($B$27-0.05*$B$27)-$B$60))</f>
        <v>2180.2177179357559</v>
      </c>
      <c r="C36" s="166" t="s">
        <v>110</v>
      </c>
      <c r="D36" s="232"/>
      <c r="G36" s="15"/>
    </row>
    <row r="37" spans="1:7">
      <c r="A37" s="169" t="s">
        <v>78</v>
      </c>
      <c r="B37" s="166">
        <f>B60</f>
        <v>92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15852.466305</v>
      </c>
      <c r="C5" s="17">
        <f>IF(ISERROR('Eigen informatie GS &amp; warmtenet'!B60),0,'Eigen informatie GS &amp; warmtenet'!B60)</f>
        <v>0</v>
      </c>
      <c r="D5" s="30">
        <f>SUM(D6:D12)</f>
        <v>19742.193595278004</v>
      </c>
      <c r="E5" s="17">
        <f>SUM(E6:E12)</f>
        <v>239.77928195521122</v>
      </c>
      <c r="F5" s="17">
        <f>SUM(F6:F12)</f>
        <v>1812.284423543922</v>
      </c>
      <c r="G5" s="18"/>
      <c r="H5" s="17"/>
      <c r="I5" s="17"/>
      <c r="J5" s="17">
        <f>SUM(J6:J12)</f>
        <v>3.7642597136813824E-2</v>
      </c>
      <c r="K5" s="17"/>
      <c r="L5" s="17"/>
      <c r="M5" s="17"/>
      <c r="N5" s="17">
        <f>SUM(N6:N12)</f>
        <v>1476.6386898832407</v>
      </c>
      <c r="O5" s="17">
        <f>B38*B39*B40</f>
        <v>9.7945215316823084</v>
      </c>
      <c r="P5" s="17">
        <f>B46*B47*B48/1000-B46*B47*B48/1000/B49</f>
        <v>52.539138306495019</v>
      </c>
      <c r="R5" s="32"/>
    </row>
    <row r="6" spans="1:18">
      <c r="A6" s="32" t="s">
        <v>53</v>
      </c>
      <c r="B6" s="37">
        <f>B26</f>
        <v>3653.4749449999999</v>
      </c>
      <c r="C6" s="33"/>
      <c r="D6" s="37">
        <f>IF(ISERROR(TER_kantoor_gas_kWh/1000),0,TER_kantoor_gas_kWh/1000)*0.902</f>
        <v>5329.1760111920003</v>
      </c>
      <c r="E6" s="33">
        <f>$C$26*'E Balans VL '!I12/100/3.6*1000000</f>
        <v>29.398341486062229</v>
      </c>
      <c r="F6" s="33">
        <f>$C$26*('E Balans VL '!L12+'E Balans VL '!N12)/100/3.6*1000000</f>
        <v>446.67574535220325</v>
      </c>
      <c r="G6" s="34"/>
      <c r="H6" s="33"/>
      <c r="I6" s="33"/>
      <c r="J6" s="33">
        <f>$C$26*('E Balans VL '!D12+'E Balans VL '!E12)/100/3.6*1000000</f>
        <v>0</v>
      </c>
      <c r="K6" s="33"/>
      <c r="L6" s="33"/>
      <c r="M6" s="33"/>
      <c r="N6" s="33">
        <f>$C$26*'E Balans VL '!Y12/100/3.6*1000000</f>
        <v>1.9635628687693785</v>
      </c>
      <c r="O6" s="33"/>
      <c r="P6" s="33"/>
      <c r="R6" s="32"/>
    </row>
    <row r="7" spans="1:18">
      <c r="A7" s="32" t="s">
        <v>52</v>
      </c>
      <c r="B7" s="37">
        <f t="shared" ref="B7:B12" si="0">B27</f>
        <v>1253.6956150000001</v>
      </c>
      <c r="C7" s="33"/>
      <c r="D7" s="37">
        <f>IF(ISERROR(TER_horeca_gas_kWh/1000),0,TER_horeca_gas_kWh/1000)*0.902</f>
        <v>1527.26840244</v>
      </c>
      <c r="E7" s="33">
        <f>$C$27*'E Balans VL '!I9/100/3.6*1000000</f>
        <v>13.461612366885067</v>
      </c>
      <c r="F7" s="33">
        <f>$C$27*('E Balans VL '!L9+'E Balans VL '!N9)/100/3.6*1000000</f>
        <v>150.78918200478572</v>
      </c>
      <c r="G7" s="34"/>
      <c r="H7" s="33"/>
      <c r="I7" s="33"/>
      <c r="J7" s="33">
        <f>$C$27*('E Balans VL '!D9+'E Balans VL '!E9)/100/3.6*1000000</f>
        <v>0</v>
      </c>
      <c r="K7" s="33"/>
      <c r="L7" s="33"/>
      <c r="M7" s="33"/>
      <c r="N7" s="33">
        <f>$C$27*'E Balans VL '!Y9/100/3.6*1000000</f>
        <v>0.18795438214861501</v>
      </c>
      <c r="O7" s="33"/>
      <c r="P7" s="33"/>
      <c r="R7" s="32"/>
    </row>
    <row r="8" spans="1:18">
      <c r="A8" s="6" t="s">
        <v>51</v>
      </c>
      <c r="B8" s="37">
        <f t="shared" si="0"/>
        <v>5661.0796579999997</v>
      </c>
      <c r="C8" s="33"/>
      <c r="D8" s="37">
        <f>IF(ISERROR(TER_handel_gas_kWh/1000),0,TER_handel_gas_kWh/1000)*0.902</f>
        <v>3257.3187857320004</v>
      </c>
      <c r="E8" s="33">
        <f>$C$28*'E Balans VL '!I13/100/3.6*1000000</f>
        <v>151.92604679347366</v>
      </c>
      <c r="F8" s="33">
        <f>$C$28*('E Balans VL '!L13+'E Balans VL '!N13)/100/3.6*1000000</f>
        <v>540.24147834715677</v>
      </c>
      <c r="G8" s="34"/>
      <c r="H8" s="33"/>
      <c r="I8" s="33"/>
      <c r="J8" s="33">
        <f>$C$28*('E Balans VL '!D13+'E Balans VL '!E13)/100/3.6*1000000</f>
        <v>0</v>
      </c>
      <c r="K8" s="33"/>
      <c r="L8" s="33"/>
      <c r="M8" s="33"/>
      <c r="N8" s="33">
        <f>$C$28*'E Balans VL '!Y13/100/3.6*1000000</f>
        <v>2.2441163450891484</v>
      </c>
      <c r="O8" s="33"/>
      <c r="P8" s="33"/>
      <c r="R8" s="32"/>
    </row>
    <row r="9" spans="1:18">
      <c r="A9" s="32" t="s">
        <v>50</v>
      </c>
      <c r="B9" s="37">
        <f t="shared" si="0"/>
        <v>250.20870000000002</v>
      </c>
      <c r="C9" s="33"/>
      <c r="D9" s="37">
        <f>IF(ISERROR(TER_gezond_gas_kWh/1000),0,TER_gezond_gas_kWh/1000)*0.902</f>
        <v>419.97099705000005</v>
      </c>
      <c r="E9" s="33">
        <f>$C$29*'E Balans VL '!I10/100/3.6*1000000</f>
        <v>0.46897257529052144</v>
      </c>
      <c r="F9" s="33">
        <f>$C$29*('E Balans VL '!L10+'E Balans VL '!N10)/100/3.6*1000000</f>
        <v>20.569438118476445</v>
      </c>
      <c r="G9" s="34"/>
      <c r="H9" s="33"/>
      <c r="I9" s="33"/>
      <c r="J9" s="33">
        <f>$C$29*('E Balans VL '!D10+'E Balans VL '!E10)/100/3.6*1000000</f>
        <v>0</v>
      </c>
      <c r="K9" s="33"/>
      <c r="L9" s="33"/>
      <c r="M9" s="33"/>
      <c r="N9" s="33">
        <f>$C$29*'E Balans VL '!Y10/100/3.6*1000000</f>
        <v>1.9468103685140414</v>
      </c>
      <c r="O9" s="33"/>
      <c r="P9" s="33"/>
      <c r="R9" s="32"/>
    </row>
    <row r="10" spans="1:18">
      <c r="A10" s="32" t="s">
        <v>49</v>
      </c>
      <c r="B10" s="37">
        <f t="shared" si="0"/>
        <v>1866.6492539999999</v>
      </c>
      <c r="C10" s="33"/>
      <c r="D10" s="37">
        <f>IF(ISERROR(TER_ander_gas_kWh/1000),0,TER_ander_gas_kWh/1000)*0.902</f>
        <v>2099.4604378220001</v>
      </c>
      <c r="E10" s="33">
        <f>$C$30*'E Balans VL '!I14/100/3.6*1000000</f>
        <v>2.8774587395056384</v>
      </c>
      <c r="F10" s="33">
        <f>$C$30*('E Balans VL '!L14+'E Balans VL '!N14)/100/3.6*1000000</f>
        <v>289.79781200035814</v>
      </c>
      <c r="G10" s="34"/>
      <c r="H10" s="33"/>
      <c r="I10" s="33"/>
      <c r="J10" s="33">
        <f>$C$30*('E Balans VL '!D14+'E Balans VL '!E14)/100/3.6*1000000</f>
        <v>3.1688339701245863E-2</v>
      </c>
      <c r="K10" s="33"/>
      <c r="L10" s="33"/>
      <c r="M10" s="33"/>
      <c r="N10" s="33">
        <f>$C$30*'E Balans VL '!Y14/100/3.6*1000000</f>
        <v>1234.9153207868833</v>
      </c>
      <c r="O10" s="33"/>
      <c r="P10" s="33"/>
      <c r="R10" s="32"/>
    </row>
    <row r="11" spans="1:18">
      <c r="A11" s="32" t="s">
        <v>54</v>
      </c>
      <c r="B11" s="37">
        <f t="shared" si="0"/>
        <v>60.433104</v>
      </c>
      <c r="C11" s="33"/>
      <c r="D11" s="37">
        <f>IF(ISERROR(TER_onderwijs_gas_kWh/1000),0,TER_onderwijs_gas_kWh/1000)*0.902</f>
        <v>960.40624266400016</v>
      </c>
      <c r="E11" s="33">
        <f>$C$31*'E Balans VL '!I11/100/3.6*1000000</f>
        <v>1.5414569135107625</v>
      </c>
      <c r="F11" s="33">
        <f>$C$31*('E Balans VL '!L11+'E Balans VL '!N11)/100/3.6*1000000</f>
        <v>7.2676495740361977</v>
      </c>
      <c r="G11" s="34"/>
      <c r="H11" s="33"/>
      <c r="I11" s="33"/>
      <c r="J11" s="33">
        <f>$C$31*('E Balans VL '!D11+'E Balans VL '!E11)/100/3.6*1000000</f>
        <v>0</v>
      </c>
      <c r="K11" s="33"/>
      <c r="L11" s="33"/>
      <c r="M11" s="33"/>
      <c r="N11" s="33">
        <f>$C$31*'E Balans VL '!Y11/100/3.6*1000000</f>
        <v>0.13440174871555643</v>
      </c>
      <c r="O11" s="33"/>
      <c r="P11" s="33"/>
      <c r="R11" s="32"/>
    </row>
    <row r="12" spans="1:18">
      <c r="A12" s="32" t="s">
        <v>254</v>
      </c>
      <c r="B12" s="37">
        <f t="shared" si="0"/>
        <v>3106.925029</v>
      </c>
      <c r="C12" s="33"/>
      <c r="D12" s="37">
        <f>IF(ISERROR(TER_rest_gas_kWh/1000),0,TER_rest_gas_kWh/1000)*0.902</f>
        <v>6148.5927183780013</v>
      </c>
      <c r="E12" s="33">
        <f>$C$32*'E Balans VL '!I8/100/3.6*1000000</f>
        <v>40.105393080483324</v>
      </c>
      <c r="F12" s="33">
        <f>$C$32*('E Balans VL '!L8+'E Balans VL '!N8)/100/3.6*1000000</f>
        <v>356.94311814690553</v>
      </c>
      <c r="G12" s="34"/>
      <c r="H12" s="33"/>
      <c r="I12" s="33"/>
      <c r="J12" s="33">
        <f>$C$32*('E Balans VL '!D8+'E Balans VL '!E8)/100/3.6*1000000</f>
        <v>5.9542574355679594E-3</v>
      </c>
      <c r="K12" s="33"/>
      <c r="L12" s="33"/>
      <c r="M12" s="33"/>
      <c r="N12" s="33">
        <f>$C$32*'E Balans VL '!Y8/100/3.6*1000000</f>
        <v>235.24652338312066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15852.466305</v>
      </c>
      <c r="C16" s="21">
        <f t="shared" ca="1" si="1"/>
        <v>0</v>
      </c>
      <c r="D16" s="21">
        <f t="shared" ca="1" si="1"/>
        <v>19742.193595278004</v>
      </c>
      <c r="E16" s="21">
        <f t="shared" si="1"/>
        <v>239.77928195521122</v>
      </c>
      <c r="F16" s="21">
        <f t="shared" ca="1" si="1"/>
        <v>1812.284423543922</v>
      </c>
      <c r="G16" s="21">
        <f t="shared" si="1"/>
        <v>0</v>
      </c>
      <c r="H16" s="21">
        <f t="shared" si="1"/>
        <v>0</v>
      </c>
      <c r="I16" s="21">
        <f t="shared" si="1"/>
        <v>0</v>
      </c>
      <c r="J16" s="21">
        <f t="shared" si="1"/>
        <v>3.7642597136813824E-2</v>
      </c>
      <c r="K16" s="21">
        <f t="shared" si="1"/>
        <v>0</v>
      </c>
      <c r="L16" s="21">
        <f t="shared" ca="1" si="1"/>
        <v>0</v>
      </c>
      <c r="M16" s="21">
        <f t="shared" si="1"/>
        <v>0</v>
      </c>
      <c r="N16" s="21">
        <f t="shared" ca="1" si="1"/>
        <v>1476.6386898832407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0.20297987886076077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3217.7316902331918</v>
      </c>
      <c r="C20" s="23">
        <f t="shared" ref="C20:P20" ca="1" si="2">C16*C18</f>
        <v>0</v>
      </c>
      <c r="D20" s="23">
        <f t="shared" ca="1" si="2"/>
        <v>3987.9231062461572</v>
      </c>
      <c r="E20" s="23">
        <f t="shared" si="2"/>
        <v>54.429897003832949</v>
      </c>
      <c r="F20" s="23">
        <f t="shared" ca="1" si="2"/>
        <v>483.87994108622718</v>
      </c>
      <c r="G20" s="23">
        <f t="shared" si="2"/>
        <v>0</v>
      </c>
      <c r="H20" s="23">
        <f t="shared" si="2"/>
        <v>0</v>
      </c>
      <c r="I20" s="23">
        <f t="shared" si="2"/>
        <v>0</v>
      </c>
      <c r="J20" s="23">
        <f t="shared" si="2"/>
        <v>1.3325479386432092E-2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3653.4749449999999</v>
      </c>
      <c r="C26" s="39">
        <f>IF(ISERROR(B26*3.6/1000000/'E Balans VL '!Z12*100),0,B26*3.6/1000000/'E Balans VL '!Z12*100)</f>
        <v>7.7505128412437119E-2</v>
      </c>
      <c r="D26" s="235" t="s">
        <v>698</v>
      </c>
      <c r="F26" s="6"/>
    </row>
    <row r="27" spans="1:18">
      <c r="A27" s="229" t="s">
        <v>52</v>
      </c>
      <c r="B27" s="33">
        <f>IF(ISERROR(TER_horeca_ele_kWh/1000),0,TER_horeca_ele_kWh/1000)</f>
        <v>1253.6956150000001</v>
      </c>
      <c r="C27" s="39">
        <f>IF(ISERROR(B27*3.6/1000000/'E Balans VL '!Z9*100),0,B27*3.6/1000000/'E Balans VL '!Z9*100)</f>
        <v>9.4414385680326715E-2</v>
      </c>
      <c r="D27" s="235" t="s">
        <v>698</v>
      </c>
      <c r="F27" s="6"/>
    </row>
    <row r="28" spans="1:18">
      <c r="A28" s="169" t="s">
        <v>51</v>
      </c>
      <c r="B28" s="33">
        <f>IF(ISERROR(TER_handel_ele_kWh/1000),0,TER_handel_ele_kWh/1000)</f>
        <v>5661.0796579999997</v>
      </c>
      <c r="C28" s="39">
        <f>IF(ISERROR(B28*3.6/1000000/'E Balans VL '!Z13*100),0,B28*3.6/1000000/'E Balans VL '!Z13*100)</f>
        <v>0.16432108370149026</v>
      </c>
      <c r="D28" s="235" t="s">
        <v>698</v>
      </c>
      <c r="F28" s="6"/>
    </row>
    <row r="29" spans="1:18">
      <c r="A29" s="229" t="s">
        <v>50</v>
      </c>
      <c r="B29" s="33">
        <f>IF(ISERROR(TER_gezond_ele_kWh/1000),0,TER_gezond_ele_kWh/1000)</f>
        <v>250.20870000000002</v>
      </c>
      <c r="C29" s="39">
        <f>IF(ISERROR(B29*3.6/1000000/'E Balans VL '!Z10*100),0,B29*3.6/1000000/'E Balans VL '!Z10*100)</f>
        <v>2.5233845781027747E-2</v>
      </c>
      <c r="D29" s="235" t="s">
        <v>698</v>
      </c>
      <c r="F29" s="6"/>
    </row>
    <row r="30" spans="1:18">
      <c r="A30" s="229" t="s">
        <v>49</v>
      </c>
      <c r="B30" s="33">
        <f>IF(ISERROR(TER_ander_ele_kWh/1000),0,TER_ander_ele_kWh/1000)</f>
        <v>1866.6492539999999</v>
      </c>
      <c r="C30" s="39">
        <f>IF(ISERROR(B30*3.6/1000000/'E Balans VL '!Z14*100),0,B30*3.6/1000000/'E Balans VL '!Z14*100)</f>
        <v>0.13545086914280208</v>
      </c>
      <c r="D30" s="235" t="s">
        <v>698</v>
      </c>
      <c r="F30" s="6"/>
    </row>
    <row r="31" spans="1:18">
      <c r="A31" s="229" t="s">
        <v>54</v>
      </c>
      <c r="B31" s="33">
        <f>IF(ISERROR(TER_onderwijs_ele_kWh/1000),0,TER_onderwijs_ele_kWh/1000)</f>
        <v>60.433104</v>
      </c>
      <c r="C31" s="39">
        <f>IF(ISERROR(B31*3.6/1000000/'E Balans VL '!Z11*100),0,B31*3.6/1000000/'E Balans VL '!Z11*100)</f>
        <v>1.7225895590585665E-2</v>
      </c>
      <c r="D31" s="235" t="s">
        <v>698</v>
      </c>
    </row>
    <row r="32" spans="1:18">
      <c r="A32" s="229" t="s">
        <v>254</v>
      </c>
      <c r="B32" s="33">
        <f>IF(ISERROR(TER_rest_ele_kWh/1000),0,TER_rest_ele_kWh/1000)</f>
        <v>3106.925029</v>
      </c>
      <c r="C32" s="39">
        <f>IF(ISERROR(B32*3.6/1000000/'E Balans VL '!Z8*100),0,B32*3.6/1000000/'E Balans VL '!Z8*100)</f>
        <v>2.5451296986568318E-2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4394.6208740000002</v>
      </c>
      <c r="C5" s="17">
        <f>IF(ISERROR('Eigen informatie GS &amp; warmtenet'!B61),0,'Eigen informatie GS &amp; warmtenet'!B61)</f>
        <v>0</v>
      </c>
      <c r="D5" s="30">
        <f>SUM(D6:D15)</f>
        <v>2494.7366809200003</v>
      </c>
      <c r="E5" s="17">
        <f>SUM(E6:E15)</f>
        <v>681.47601802211534</v>
      </c>
      <c r="F5" s="17">
        <f>SUM(F6:F15)</f>
        <v>2112.8159480591048</v>
      </c>
      <c r="G5" s="18"/>
      <c r="H5" s="17"/>
      <c r="I5" s="17"/>
      <c r="J5" s="17">
        <f>SUM(J6:J15)</f>
        <v>51.949761449032493</v>
      </c>
      <c r="K5" s="17"/>
      <c r="L5" s="17"/>
      <c r="M5" s="17"/>
      <c r="N5" s="17">
        <f>SUM(N6:N15)</f>
        <v>241.33385329424169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43.256104000000001</v>
      </c>
      <c r="C8" s="33"/>
      <c r="D8" s="37">
        <f>IF( ISERROR(IND_metaal_Gas_kWH/1000),0,IND_metaal_Gas_kWH/1000)*0.902</f>
        <v>0</v>
      </c>
      <c r="E8" s="33">
        <f>C30*'E Balans VL '!I18/100/3.6*1000000</f>
        <v>0.31206243038878312</v>
      </c>
      <c r="F8" s="33">
        <f>C30*'E Balans VL '!L18/100/3.6*1000000+C30*'E Balans VL '!N18/100/3.6*1000000</f>
        <v>4.091229851713357</v>
      </c>
      <c r="G8" s="34"/>
      <c r="H8" s="33"/>
      <c r="I8" s="33"/>
      <c r="J8" s="40">
        <f>C30*'E Balans VL '!D18/100/3.6*1000000+C30*'E Balans VL '!E18/100/3.6*1000000</f>
        <v>4.3507240772990112E-2</v>
      </c>
      <c r="K8" s="33"/>
      <c r="L8" s="33"/>
      <c r="M8" s="33"/>
      <c r="N8" s="33">
        <f>C30*'E Balans VL '!Y18/100/3.6*1000000</f>
        <v>0.54687159891249904</v>
      </c>
      <c r="O8" s="33"/>
      <c r="P8" s="33"/>
      <c r="R8" s="32"/>
    </row>
    <row r="9" spans="1:18">
      <c r="A9" s="6" t="s">
        <v>32</v>
      </c>
      <c r="B9" s="37">
        <f t="shared" si="0"/>
        <v>2250.6368309999998</v>
      </c>
      <c r="C9" s="33"/>
      <c r="D9" s="37">
        <f>IF( ISERROR(IND_andere_gas_kWh/1000),0,IND_andere_gas_kWh/1000)*0.902</f>
        <v>909.05443015200001</v>
      </c>
      <c r="E9" s="33">
        <f>C31*'E Balans VL '!I19/100/3.6*1000000</f>
        <v>623.6815606548721</v>
      </c>
      <c r="F9" s="33">
        <f>C31*'E Balans VL '!L19/100/3.6*1000000+C31*'E Balans VL '!N19/100/3.6*1000000</f>
        <v>1865.3326691964753</v>
      </c>
      <c r="G9" s="34"/>
      <c r="H9" s="33"/>
      <c r="I9" s="33"/>
      <c r="J9" s="40">
        <f>C31*'E Balans VL '!D19/100/3.6*1000000+C31*'E Balans VL '!E19/100/3.6*1000000</f>
        <v>0</v>
      </c>
      <c r="K9" s="33"/>
      <c r="L9" s="33"/>
      <c r="M9" s="33"/>
      <c r="N9" s="33">
        <f>C31*'E Balans VL '!Y19/100/3.6*1000000</f>
        <v>163.36870566199426</v>
      </c>
      <c r="O9" s="33"/>
      <c r="P9" s="33"/>
      <c r="R9" s="32"/>
    </row>
    <row r="10" spans="1:18">
      <c r="A10" s="6" t="s">
        <v>40</v>
      </c>
      <c r="B10" s="37">
        <f t="shared" si="0"/>
        <v>531.32593700000007</v>
      </c>
      <c r="C10" s="33"/>
      <c r="D10" s="37">
        <f>IF( ISERROR(IND_voed_gas_kWh/1000),0,IND_voed_gas_kWh/1000)*0.902</f>
        <v>513.62959157399996</v>
      </c>
      <c r="E10" s="33">
        <f>C32*'E Balans VL '!I20/100/3.6*1000000</f>
        <v>0.94062688012335904</v>
      </c>
      <c r="F10" s="33">
        <f>C32*'E Balans VL '!L20/100/3.6*1000000+C32*'E Balans VL '!N20/100/3.6*1000000</f>
        <v>28.696309697538322</v>
      </c>
      <c r="G10" s="34"/>
      <c r="H10" s="33"/>
      <c r="I10" s="33"/>
      <c r="J10" s="40">
        <f>C32*'E Balans VL '!D20/100/3.6*1000000+C32*'E Balans VL '!E20/100/3.6*1000000</f>
        <v>0</v>
      </c>
      <c r="K10" s="33"/>
      <c r="L10" s="33"/>
      <c r="M10" s="33"/>
      <c r="N10" s="33">
        <f>C32*'E Balans VL '!Y20/100/3.6*1000000</f>
        <v>30.874094726444504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385.00491800000003</v>
      </c>
      <c r="C13" s="33"/>
      <c r="D13" s="37">
        <f>IF( ISERROR(IND_papier_gas_kWh/1000),0,IND_papier_gas_kWh/1000)*0.902</f>
        <v>113.726276994</v>
      </c>
      <c r="E13" s="33">
        <f>C35*'E Balans VL '!I23/100/3.6*1000000</f>
        <v>0.56647443743453607</v>
      </c>
      <c r="F13" s="33">
        <f>C35*'E Balans VL '!L23/100/3.6*1000000+C35*'E Balans VL '!N23/100/3.6*1000000</f>
        <v>4.1223656716413224</v>
      </c>
      <c r="G13" s="34"/>
      <c r="H13" s="33"/>
      <c r="I13" s="33"/>
      <c r="J13" s="40">
        <f>C35*'E Balans VL '!D23/100/3.6*1000000+C35*'E Balans VL '!E23/100/3.6*1000000</f>
        <v>42.121697023801772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1184.3970839999999</v>
      </c>
      <c r="C15" s="33"/>
      <c r="D15" s="37">
        <f>IF( ISERROR(IND_rest_gas_kWh/1000),0,IND_rest_gas_kWh/1000)*0.902</f>
        <v>958.32638220000013</v>
      </c>
      <c r="E15" s="33">
        <f>C37*'E Balans VL '!I15/100/3.6*1000000</f>
        <v>55.975293619296608</v>
      </c>
      <c r="F15" s="33">
        <f>C37*'E Balans VL '!L15/100/3.6*1000000+C37*'E Balans VL '!N15/100/3.6*1000000</f>
        <v>210.57337364173657</v>
      </c>
      <c r="G15" s="34"/>
      <c r="H15" s="33"/>
      <c r="I15" s="33"/>
      <c r="J15" s="40">
        <f>C37*'E Balans VL '!D15/100/3.6*1000000+C37*'E Balans VL '!E15/100/3.6*1000000</f>
        <v>9.7845571844577286</v>
      </c>
      <c r="K15" s="33"/>
      <c r="L15" s="33"/>
      <c r="M15" s="33"/>
      <c r="N15" s="33">
        <f>C37*'E Balans VL '!Y15/100/3.6*1000000</f>
        <v>46.544181306890444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4394.6208740000002</v>
      </c>
      <c r="C18" s="21">
        <f>C5+C16</f>
        <v>0</v>
      </c>
      <c r="D18" s="21">
        <f>MAX((D5+D16),0)</f>
        <v>2494.7366809200003</v>
      </c>
      <c r="E18" s="21">
        <f>MAX((E5+E16),0)</f>
        <v>681.47601802211534</v>
      </c>
      <c r="F18" s="21">
        <f>MAX((F5+F16),0)</f>
        <v>2112.8159480591048</v>
      </c>
      <c r="G18" s="21"/>
      <c r="H18" s="21"/>
      <c r="I18" s="21"/>
      <c r="J18" s="21">
        <f>MAX((J5+J16),0)</f>
        <v>51.949761449032493</v>
      </c>
      <c r="K18" s="21"/>
      <c r="L18" s="21">
        <f>MAX((L5+L16),0)</f>
        <v>0</v>
      </c>
      <c r="M18" s="21"/>
      <c r="N18" s="21">
        <f>MAX((N5+N16),0)</f>
        <v>241.33385329424169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0.20297987886076077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892.01961264349063</v>
      </c>
      <c r="C22" s="23">
        <f ca="1">C18*C20</f>
        <v>0</v>
      </c>
      <c r="D22" s="23">
        <f>D18*D20</f>
        <v>503.93680954584011</v>
      </c>
      <c r="E22" s="23">
        <f>E18*E20</f>
        <v>154.69505609102018</v>
      </c>
      <c r="F22" s="23">
        <f>F18*F20</f>
        <v>564.12185813178098</v>
      </c>
      <c r="G22" s="23"/>
      <c r="H22" s="23"/>
      <c r="I22" s="23"/>
      <c r="J22" s="23">
        <f>J18*J20</f>
        <v>18.390215552957503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43.256104000000001</v>
      </c>
      <c r="C30" s="39">
        <f>IF(ISERROR(B30*3.6/1000000/'E Balans VL '!Z18*100),0,B30*3.6/1000000/'E Balans VL '!Z18*100)</f>
        <v>2.4971073893590053E-3</v>
      </c>
      <c r="D30" s="235" t="s">
        <v>698</v>
      </c>
    </row>
    <row r="31" spans="1:18">
      <c r="A31" s="6" t="s">
        <v>32</v>
      </c>
      <c r="B31" s="37">
        <f>IF( ISERROR(IND_ander_ele_kWh/1000),0,IND_ander_ele_kWh/1000)</f>
        <v>2250.6368309999998</v>
      </c>
      <c r="C31" s="39">
        <f>IF(ISERROR(B31*3.6/1000000/'E Balans VL '!Z19*100),0,B31*3.6/1000000/'E Balans VL '!Z19*100)</f>
        <v>0.11319973744248787</v>
      </c>
      <c r="D31" s="235" t="s">
        <v>698</v>
      </c>
    </row>
    <row r="32" spans="1:18">
      <c r="A32" s="169" t="s">
        <v>40</v>
      </c>
      <c r="B32" s="37">
        <f>IF( ISERROR(IND_voed_ele_kWh/1000),0,IND_voed_ele_kWh/1000)</f>
        <v>531.32593700000007</v>
      </c>
      <c r="C32" s="39">
        <f>IF(ISERROR(B32*3.6/1000000/'E Balans VL '!Z20*100),0,B32*3.6/1000000/'E Balans VL '!Z20*100)</f>
        <v>1.7696308847328101E-2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385.00491800000003</v>
      </c>
      <c r="C35" s="39">
        <f>IF(ISERROR(B35*3.6/1000000/'E Balans VL '!Z22*100),0,B35*3.6/1000000/'E Balans VL '!Z22*100)</f>
        <v>7.1816421271047232E-2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1184.3970839999999</v>
      </c>
      <c r="C37" s="39">
        <f>IF(ISERROR(B37*3.6/1000000/'E Balans VL '!Z15*100),0,B37*3.6/1000000/'E Balans VL '!Z15*100)</f>
        <v>9.2415361444109362E-3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2665.3052189999994</v>
      </c>
      <c r="C5" s="17">
        <f>'Eigen informatie GS &amp; warmtenet'!B62</f>
        <v>0</v>
      </c>
      <c r="D5" s="30">
        <f>IF(ISERROR(SUM(LB_lb_gas_kWh,LB_rest_gas_kWh)/1000),0,SUM(LB_lb_gas_kWh,LB_rest_gas_kWh)/1000)*0.902</f>
        <v>1381.8478830640001</v>
      </c>
      <c r="E5" s="17">
        <f>B17*'E Balans VL '!I25/3.6*1000000/100</f>
        <v>83.183296975757912</v>
      </c>
      <c r="F5" s="17">
        <f>B17*('E Balans VL '!L25/3.6*1000000+'E Balans VL '!N25/3.6*1000000)/100</f>
        <v>9419.4838984933722</v>
      </c>
      <c r="G5" s="18"/>
      <c r="H5" s="17"/>
      <c r="I5" s="17"/>
      <c r="J5" s="17">
        <f>('E Balans VL '!D25+'E Balans VL '!E25)/3.6*1000000*landbouw!B17/100</f>
        <v>734.31007156420321</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2665.3052189999994</v>
      </c>
      <c r="C8" s="21">
        <f>C5+C6</f>
        <v>62.357142857142847</v>
      </c>
      <c r="D8" s="21">
        <f>MAX((D5+D6),0)</f>
        <v>1381.8478830640001</v>
      </c>
      <c r="E8" s="21">
        <f>MAX((E5+E6),0)</f>
        <v>83.183296975757912</v>
      </c>
      <c r="F8" s="21">
        <f>MAX((F5+F6),0)</f>
        <v>9419.4838984933722</v>
      </c>
      <c r="G8" s="21"/>
      <c r="H8" s="21"/>
      <c r="I8" s="21"/>
      <c r="J8" s="21">
        <f>MAX((J5+J6),0)</f>
        <v>734.31007156420321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0.20297987886076077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541.00333047957338</v>
      </c>
      <c r="C12" s="23">
        <f ca="1">C8*C10</f>
        <v>0</v>
      </c>
      <c r="D12" s="23">
        <f>D8*D10</f>
        <v>279.13327237892804</v>
      </c>
      <c r="E12" s="23">
        <f>E8*E10</f>
        <v>18.882608413497046</v>
      </c>
      <c r="F12" s="23">
        <f>F8*F10</f>
        <v>2515.0022008977303</v>
      </c>
      <c r="G12" s="23"/>
      <c r="H12" s="23"/>
      <c r="I12" s="23"/>
      <c r="J12" s="23">
        <f>J8*J10</f>
        <v>259.94576533372793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0.39621672752198955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323.92529054241129</v>
      </c>
      <c r="C26" s="245">
        <f>B26*'GWP N2O_CH4'!B5</f>
        <v>6802.4311013906372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65.968125289922469</v>
      </c>
      <c r="C27" s="245">
        <f>B27*'GWP N2O_CH4'!B5</f>
        <v>1385.3306310883718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4.2888382208868956</v>
      </c>
      <c r="C28" s="245">
        <f>B28*'GWP N2O_CH4'!B4</f>
        <v>1329.5398484749376</v>
      </c>
      <c r="D28" s="50"/>
    </row>
    <row r="29" spans="1:4">
      <c r="A29" s="41" t="s">
        <v>271</v>
      </c>
      <c r="B29" s="245">
        <f>B34*'ha_N2O bodem landbouw'!B4</f>
        <v>15.402677500313107</v>
      </c>
      <c r="C29" s="245">
        <f>B29*'GWP N2O_CH4'!B4</f>
        <v>4774.8300250970633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3.3775298568457374E-3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3.3519758279756902E-4</v>
      </c>
      <c r="C5" s="433" t="s">
        <v>210</v>
      </c>
      <c r="D5" s="418">
        <f>SUM(D6:D11)</f>
        <v>6.712523356888244E-4</v>
      </c>
      <c r="E5" s="418">
        <f>SUM(E6:E11)</f>
        <v>5.7007792424023491E-4</v>
      </c>
      <c r="F5" s="431" t="s">
        <v>210</v>
      </c>
      <c r="G5" s="418">
        <f>SUM(G6:G11)</f>
        <v>0.20062588193052427</v>
      </c>
      <c r="H5" s="418">
        <f>SUM(H6:H11)</f>
        <v>5.9240520927467316E-2</v>
      </c>
      <c r="I5" s="433" t="s">
        <v>210</v>
      </c>
      <c r="J5" s="433" t="s">
        <v>210</v>
      </c>
      <c r="K5" s="433" t="s">
        <v>210</v>
      </c>
      <c r="L5" s="433" t="s">
        <v>210</v>
      </c>
      <c r="M5" s="418">
        <f>SUM(M6:M11)</f>
        <v>1.5486787198012511E-2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1.0640125840784335E-4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1.7961567017794278E-4</v>
      </c>
      <c r="E6" s="884">
        <f>vkm_GW_PW*SUMIFS(TableVerdeelsleutelVkm[LPG],TableVerdeelsleutelVkm[Voertuigtype],"Lichte voertuigen")*SUMIFS(TableECFTransport[EnergieConsumptieFactor (PJ per km)],TableECFTransport[Index],CONCATENATE($A6,"_LPG_LPG"))</f>
        <v>1.5739225984353247E-4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4.9166285147416687E-2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1.6021748213704223E-2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3.8948444180501771E-3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2.2916405738889506E-7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8.7465512287338426E-3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1.215798659909359E-7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5.0417202882685485E-4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2.2808604214639516E-4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4.9163666551088159E-4</v>
      </c>
      <c r="E8" s="421">
        <f>vkm_NGW_PW*SUMIFS(TableVerdeelsleutelVkm[LPG],TableVerdeelsleutelVkm[Voertuigtype],"Lichte voertuigen")*SUMIFS(TableECFTransport[EnergieConsumptieFactor (PJ per km)],TableECFTransport[Index],CONCATENATE($A8,"_LPG_LPG"))</f>
        <v>4.1268566439670241E-4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0.11910607224345157</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4.3218343039800454E-2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9.7270099545998089E-3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4.8111818594159162E-7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2.3606973310922194E-2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3.0809409664983487E-7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1.3607607965356694E-3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93.110439665991393</v>
      </c>
      <c r="C14" s="21"/>
      <c r="D14" s="21">
        <f t="shared" ref="D14:M14" si="0">((D5)*10^9/3600)+D12</f>
        <v>186.45898213578457</v>
      </c>
      <c r="E14" s="21">
        <f t="shared" si="0"/>
        <v>158.35497895562079</v>
      </c>
      <c r="F14" s="21"/>
      <c r="G14" s="21">
        <f t="shared" si="0"/>
        <v>55729.411647367851</v>
      </c>
      <c r="H14" s="21">
        <f t="shared" si="0"/>
        <v>16455.700257629811</v>
      </c>
      <c r="I14" s="21"/>
      <c r="J14" s="21"/>
      <c r="K14" s="21"/>
      <c r="L14" s="21"/>
      <c r="M14" s="21">
        <f t="shared" si="0"/>
        <v>4301.8853327812531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0.20297987886076077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18.899545764075107</v>
      </c>
      <c r="C18" s="23"/>
      <c r="D18" s="23">
        <f t="shared" ref="D18:M18" si="1">D14*D16</f>
        <v>37.664714391428483</v>
      </c>
      <c r="E18" s="23">
        <f t="shared" si="1"/>
        <v>35.946580222925924</v>
      </c>
      <c r="F18" s="23"/>
      <c r="G18" s="23">
        <f t="shared" si="1"/>
        <v>14879.752909847217</v>
      </c>
      <c r="H18" s="23">
        <f t="shared" si="1"/>
        <v>4097.4693641498225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7.0639261012988701E-5</v>
      </c>
      <c r="C50" s="315">
        <f t="shared" ref="C50:P50" si="2">SUM(C51:C52)</f>
        <v>0</v>
      </c>
      <c r="D50" s="315">
        <f t="shared" si="2"/>
        <v>0</v>
      </c>
      <c r="E50" s="315">
        <f t="shared" si="2"/>
        <v>0</v>
      </c>
      <c r="F50" s="315">
        <f t="shared" si="2"/>
        <v>0</v>
      </c>
      <c r="G50" s="315">
        <f t="shared" si="2"/>
        <v>5.1179208521080523E-3</v>
      </c>
      <c r="H50" s="315">
        <f t="shared" si="2"/>
        <v>0</v>
      </c>
      <c r="I50" s="315">
        <f t="shared" si="2"/>
        <v>0</v>
      </c>
      <c r="J50" s="315">
        <f t="shared" si="2"/>
        <v>0</v>
      </c>
      <c r="K50" s="315">
        <f t="shared" si="2"/>
        <v>0</v>
      </c>
      <c r="L50" s="315">
        <f t="shared" si="2"/>
        <v>0</v>
      </c>
      <c r="M50" s="315">
        <f t="shared" si="2"/>
        <v>2.8948484456888895E-4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7.0639261012988701E-5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5.1179208521080523E-3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2.8948484456888895E-4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19.622016948052419</v>
      </c>
      <c r="C54" s="21">
        <f t="shared" ref="C54:P54" si="3">(C50)*10^9/3600</f>
        <v>0</v>
      </c>
      <c r="D54" s="21">
        <f t="shared" si="3"/>
        <v>0</v>
      </c>
      <c r="E54" s="21">
        <f t="shared" si="3"/>
        <v>0</v>
      </c>
      <c r="F54" s="21">
        <f t="shared" si="3"/>
        <v>0</v>
      </c>
      <c r="G54" s="21">
        <f t="shared" si="3"/>
        <v>1421.6446811411256</v>
      </c>
      <c r="H54" s="21">
        <f t="shared" si="3"/>
        <v>0</v>
      </c>
      <c r="I54" s="21">
        <f t="shared" si="3"/>
        <v>0</v>
      </c>
      <c r="J54" s="21">
        <f t="shared" si="3"/>
        <v>0</v>
      </c>
      <c r="K54" s="21">
        <f t="shared" si="3"/>
        <v>0</v>
      </c>
      <c r="L54" s="21">
        <f t="shared" si="3"/>
        <v>0</v>
      </c>
      <c r="M54" s="21">
        <f t="shared" si="3"/>
        <v>80.412456824691375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0.20297987886076077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3.9828746231194749</v>
      </c>
      <c r="C58" s="23">
        <f t="shared" ref="C58:P58" ca="1" si="4">C54*C56</f>
        <v>0</v>
      </c>
      <c r="D58" s="23">
        <f t="shared" si="4"/>
        <v>0</v>
      </c>
      <c r="E58" s="23">
        <f t="shared" si="4"/>
        <v>0</v>
      </c>
      <c r="F58" s="23">
        <f t="shared" si="4"/>
        <v>0</v>
      </c>
      <c r="G58" s="23">
        <f t="shared" si="4"/>
        <v>379.57912986468057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4511.4733193424436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4555.1233193424432</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23052</v>
      </c>
      <c r="C28" s="785">
        <v>1785</v>
      </c>
      <c r="D28" s="635" t="s">
        <v>906</v>
      </c>
      <c r="E28" s="634" t="s">
        <v>907</v>
      </c>
      <c r="F28" s="634" t="s">
        <v>908</v>
      </c>
      <c r="G28" s="634" t="s">
        <v>909</v>
      </c>
      <c r="H28" s="634" t="s">
        <v>910</v>
      </c>
      <c r="I28" s="634" t="s">
        <v>911</v>
      </c>
      <c r="J28" s="784">
        <v>41256</v>
      </c>
      <c r="K28" s="784">
        <v>41256</v>
      </c>
      <c r="L28" s="634" t="s">
        <v>912</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2021-06-29T14:42:18Z</dcterms:modified>
</cp:coreProperties>
</file>