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<sst xmlns="http://schemas.openxmlformats.org/spreadsheetml/2006/main" count="2484" uniqueCount="906">
  <si>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</si>
  <si>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</si>
  <si>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</si>
  <si>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</si>
  <si>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</si>
  <si>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</si>
  <si>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</si>
  <si>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</si>
  <si>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</si>
  <si>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</si>
  <si>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</si>
  <si>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</si>
  <si>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</si>
  <si>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</si>
  <si>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</si>
  <si>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</si>
  <si>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</si>
  <si>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</si>
  <si>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</si>
  <si>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</si>
  <si>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</si>
  <si>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</si>
  <si>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</si>
  <si>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</si>
  <si>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</si>
  <si>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</si>
  <si>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</si>
  <si>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</si>
  <si>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</si>
  <si>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</si>
  <si>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</si>
  <si>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</si>
  <si>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</si>
  <si>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</si>
  <si>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</si>
  <si>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</si>
  <si>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</si>
  <si>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</si>
  <si>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</si>
  <si>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</si>
  <si>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</si>
  <si>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</si>
  <si>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</si>
  <si>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</si>
  <si>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</si>
  <si>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</si>
  <si>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</si>
  <si>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</si>
  <si>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</si>
  <si>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</si>
  <si>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</si>
  <si>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</si>
  <si>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</si>
  <si>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</si>
  <si>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</si>
  <si>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</si>
  <si>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</si>
  <si>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</si>
  <si>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</si>
  <si>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</si>
  <si>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</si>
  <si>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</si>
  <si>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</si>
  <si>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</si>
  <si>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</si>
  <si>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</si>
  <si>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</si>
  <si>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</si>
  <si>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</si>
  <si>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</si>
  <si>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</si>
  <si>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</si>
  <si>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</si>
  <si>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</si>
  <si>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</si>
  <si>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</si>
  <si>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</si>
  <si>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</si>
  <si>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</si>
  <si>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</si>
  <si>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</si>
  <si>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</si>
  <si>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</si>
  <si>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</si>
  <si>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</si>
  <si>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</si>
  <si>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</si>
  <si>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</si>
  <si>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</si>
  <si>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</si>
  <si>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</si>
  <si>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</si>
  <si>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</si>
  <si>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</si>
  <si>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</si>
  <si>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</si>
  <si>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</si>
  <si>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</si>
  <si>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</si>
  <si>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</si>
  <si>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</si>
  <si>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</si>
  <si>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</si>
  <si>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</si>
  <si>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</si>
  <si>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</si>
  <si>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</si>
  <si>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</si>
  <si>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</si>
  <si>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</si>
  <si>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</si>
  <si>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</si>
  <si>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</si>
  <si>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</si>
  <si>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</si>
  <si>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</si>
  <si>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</si>
  <si>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</si>
  <si>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</si>
  <si>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</si>
  <si>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</si>
  <si>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</si>
  <si>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</si>
  <si>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</si>
  <si>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</si>
  <si>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</si>
  <si>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</si>
  <si>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</si>
  <si>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</si>
  <si>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</si>
  <si>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</si>
  <si>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</si>
  <si>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</si>
  <si>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</si>
  <si>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</si>
  <si>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</si>
  <si>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</si>
  <si>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</si>
  <si>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</si>
  <si>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</si>
  <si>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</si>
  <si>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</si>
  <si>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</si>
  <si>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</si>
  <si>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</si>
  <si>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</si>
  <si>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</si>
  <si>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</si>
  <si>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</si>
  <si>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</si>
  <si>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</si>
  <si>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</si>
  <si>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</si>
  <si>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</si>
  <si>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</si>
  <si>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</si>
  <si>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</si>
  <si>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</si>
  <si>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</si>
  <si>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</si>
  <si>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</si>
  <si>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</si>
  <si>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</si>
  <si>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</si>
  <si>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</si>
  <si>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</si>
  <si>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</si>
  <si>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</si>
  <si>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</si>
  <si>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</si>
  <si>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</si>
  <si>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</si>
  <si>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</si>
  <si>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</si>
  <si>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</si>
  <si>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</si>
  <si>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</si>
  <si>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</si>
  <si>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</si>
  <si>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</si>
  <si>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</si>
  <si>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</si>
  <si>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</si>
  <si>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</si>
  <si>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</si>
  <si>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</si>
  <si>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</si>
  <si>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</si>
  <si>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</si>
  <si>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</si>
  <si>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</si>
  <si>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</si>
  <si>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</si>
  <si>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</si>
  <si>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</si>
  <si>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</si>
  <si>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</si>
  <si>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</si>
  <si>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</si>
  <si>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</si>
  <si>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</si>
  <si>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</si>
  <si>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</si>
  <si>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</si>
  <si>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</si>
  <si>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</si>
  <si>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</si>
  <si>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</si>
  <si>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</si>
  <si>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</si>
  <si>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</si>
  <si>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</si>
  <si>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</si>
  <si>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</si>
  <si>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</si>
  <si>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</si>
  <si>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</si>
  <si>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</si>
  <si>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</si>
  <si>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</si>
  <si>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</si>
  <si>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</si>
  <si>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</si>
  <si>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</si>
  <si>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</si>
  <si>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</si>
  <si>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</si>
  <si>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</si>
  <si>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</si>
  <si>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</si>
  <si>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</si>
  <si>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</si>
  <si>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</si>
  <si>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</si>
  <si>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</si>
  <si>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</si>
  <si>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</si>
  <si>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</si>
  <si>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</si>
  <si>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</si>
  <si>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</si>
  <si>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</si>
  <si>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</si>
  <si>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</si>
  <si>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</si>
  <si>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</si>
  <si>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</si>
  <si>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</si>
  <si>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</si>
  <si>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</si>
  <si>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</si>
  <si>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</si>
  <si>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</si>
  <si>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</si>
  <si>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</si>
  <si>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</si>
  <si>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</si>
  <si>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</si>
  <si>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</si>
  <si>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</si>
  <si>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</si>
  <si>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</si>
  <si>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</si>
  <si>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</si>
  <si>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</si>
  <si>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</si>
  <si>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</si>
  <si>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</si>
  <si>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</si>
  <si>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</si>
  <si>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</si>
  <si>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</si>
  <si>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</si>
  <si>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</si>
  <si>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</si>
  <si>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</si>
  <si>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</si>
  <si>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</si>
  <si>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</si>
  <si>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</si>
  <si>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</si>
  <si>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</si>
  <si>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</si>
  <si>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</si>
  <si>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</si>
  <si>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</si>
  <si>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</si>
  <si>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</si>
  <si>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</si>
  <si>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</si>
  <si>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</si>
  <si>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</si>
  <si>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</si>
  <si>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</si>
  <si>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</si>
  <si>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</si>
  <si>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</si>
  <si>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</si>
  <si>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</si>
  <si>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</si>
  <si>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</si>
  <si>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</si>
  <si>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</si>
  <si>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</si>
  <si>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</si>
  <si>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</si>
  <si>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</si>
  <si>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</si>
  <si>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</si>
  <si>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</si>
  <si>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</si>
  <si>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</si>
  <si>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</si>
  <si>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</si>
  <si>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</si>
  <si>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</si>
  <si>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</si>
  <si>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</si>
  <si>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</si>
  <si>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</si>
  <si>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</si>
  <si>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</si>
  <si>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</si>
  <si>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</si>
  <si>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</si>
  <si>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</si>
  <si>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</si>
  <si>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</si>
  <si>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</si>
  <si>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</si>
  <si>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</si>
  <si>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</si>
  <si>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</si>
  <si>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</si>
  <si>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</si>
  <si>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</si>
  <si>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</si>
  <si>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</si>
  <si>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</si>
  <si>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</si>
  <si>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</si>
  <si>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</si>
  <si>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</si>
  <si>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</si>
  <si>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</si>
  <si>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</si>
  <si>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</si>
  <si>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</si>
  <si>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</si>
  <si>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</si>
  <si>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</si>
  <si>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</si>
  <si>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</si>
  <si>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</si>
  <si>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</si>
  <si>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</si>
  <si>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</si>
  <si>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</si>
  <si>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</si>
  <si>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</si>
  <si>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</si>
  <si>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</si>
  <si>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</si>
  <si>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</si>
  <si>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</si>
  <si>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</si>
  <si>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</si>
  <si>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</si>
  <si>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</si>
  <si>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</si>
  <si>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</si>
  <si>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</si>
  <si>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</si>
  <si>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</si>
  <si>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</si>
  <si>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</si>
  <si>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</si>
  <si>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</si>
  <si>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</si>
  <si>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</si>
  <si>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</si>
  <si>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</si>
  <si>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</si>
  <si>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</si>
  <si>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</si>
  <si>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</si>
  <si>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</si>
  <si>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</si>
  <si>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</si>
  <si>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</si>
  <si>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</si>
  <si>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</si>
  <si>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</si>
  <si>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</si>
  <si>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</si>
  <si>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</si>
  <si>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</si>
  <si>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</si>
  <si>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</si>
  <si>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</si>
  <si>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</si>
  <si>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</si>
  <si>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</si>
  <si>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</si>
  <si>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</si>
  <si>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</si>
  <si>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</si>
  <si>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</si>
  <si>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</si>
  <si>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</si>
  <si>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</si>
  <si>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</si>
  <si>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</si>
  <si>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</si>
  <si>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</si>
  <si>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</si>
  <si>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</si>
  <si>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</si>
  <si>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</si>
  <si>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</si>
  <si>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</si>
  <si>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</si>
  <si>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</si>
  <si>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</si>
  <si>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</si>
  <si>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</si>
  <si>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</si>
  <si>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</si>
  <si>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</si>
  <si>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</si>
  <si>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</si>
  <si>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</si>
  <si>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</si>
  <si>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</si>
  <si>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</si>
  <si>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</si>
  <si>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</si>
  <si>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</si>
  <si>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</si>
  <si>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</si>
  <si>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</si>
  <si>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</si>
  <si>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</si>
  <si>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</si>
  <si>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</si>
  <si>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</si>
  <si>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</si>
  <si>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</si>
  <si>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</si>
  <si>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</si>
  <si>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</si>
  <si>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</si>
  <si>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</si>
  <si>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</si>
  <si>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</si>
  <si>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</si>
  <si>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</si>
  <si>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</si>
  <si>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</si>
  <si>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</si>
  <si>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</si>
  <si>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</si>
  <si>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</si>
  <si>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</si>
  <si>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</si>
  <si>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</si>
  <si>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</si>
  <si>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</si>
  <si>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</si>
  <si>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</si>
  <si>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</si>
  <si>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</si>
  <si>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</si>
  <si>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</si>
  <si>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</si>
  <si>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</si>
  <si>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</si>
  <si>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</si>
  <si>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</si>
  <si>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</si>
  <si>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</si>
  <si>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</si>
  <si>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</si>
  <si>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</si>
  <si>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</si>
  <si>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</si>
  <si>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</si>
  <si>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</si>
  <si>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</si>
  <si>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</si>
  <si>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</si>
  <si>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</si>
  <si>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</si>
  <si>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</si>
  <si>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</si>
  <si>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</si>
  <si>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</si>
  <si>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</si>
  <si>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</si>
  <si>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</si>
  <si>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</si>
  <si>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</si>
  <si>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</si>
  <si>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</si>
  <si>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</si>
  <si>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</si>
  <si>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</si>
  <si>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</si>
  <si>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</si>
  <si>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</si>
  <si>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</si>
  <si>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</si>
  <si>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</si>
  <si>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</si>
  <si>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</si>
  <si>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</si>
  <si>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</si>
  <si>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</si>
  <si>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</si>
  <si>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</si>
  <si>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</si>
  <si>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</si>
  <si>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</si>
  <si>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</si>
  <si>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</si>
  <si>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</si>
  <si>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</si>
  <si>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</si>
  <si>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</si>
  <si>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</si>
  <si>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</si>
  <si>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</si>
  <si>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</si>
  <si>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</si>
  <si>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</si>
  <si>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</si>
  <si>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</si>
  <si>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</si>
  <si>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</si>
  <si>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</si>
  <si>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</si>
  <si>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</si>
  <si>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</si>
  <si>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</si>
  <si>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</si>
  <si>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</si>
  <si>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</si>
  <si>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</si>
  <si>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</si>
  <si>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</si>
  <si>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</si>
  <si>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</si>
  <si>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</si>
  <si>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</si>
  <si>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</si>
  <si>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</si>
  <si>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</si>
  <si>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</si>
  <si>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</si>
  <si>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</si>
  <si>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</si>
  <si>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</si>
  <si>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</si>
  <si>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</si>
  <si>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</si>
  <si>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</si>
  <si>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</si>
  <si>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</si>
  <si>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</si>
  <si>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</si>
  <si>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</si>
  <si>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</si>
  <si>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</si>
  <si>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</si>
  <si>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</si>
  <si>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</si>
  <si>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</si>
  <si>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</si>
  <si>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</si>
  <si>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</si>
  <si>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</si>
  <si>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</si>
  <si>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</si>
  <si>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</si>
  <si>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</si>
  <si>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</si>
  <si>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</si>
  <si>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</si>
  <si>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</si>
  <si>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</si>
  <si>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</si>
  <si>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</si>
  <si>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</si>
  <si>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</si>
  <si>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</si>
  <si>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</si>
  <si>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</si>
  <si>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</si>
  <si>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</si>
  <si>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</si>
  <si>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</si>
  <si>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</si>
  <si>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</si>
  <si>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</si>
  <si>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</si>
  <si>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</si>
  <si>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</si>
  <si>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</si>
  <si>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</si>
  <si>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</si>
  <si>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</si>
  <si>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</si>
  <si>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</si>
  <si>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</si>
  <si>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</si>
  <si>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</si>
  <si>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</si>
  <si>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</si>
  <si>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</si>
  <si>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</si>
  <si>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</si>
  <si>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</si>
  <si>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</si>
  <si>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</si>
  <si>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</si>
  <si>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</si>
  <si>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</si>
  <si>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</si>
  <si>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</si>
  <si>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</si>
  <si>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</si>
  <si>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</si>
  <si>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</si>
  <si>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</si>
  <si>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</si>
  <si>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</si>
  <si>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</si>
  <si>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</si>
  <si>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</si>
  <si>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</si>
  <si>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</si>
  <si>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</si>
  <si>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</si>
  <si>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</si>
  <si>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</si>
  <si>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</si>
  <si>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</si>
  <si>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</si>
  <si>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</si>
  <si>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</si>
  <si>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</si>
  <si>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</si>
  <si>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</si>
  <si>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</si>
  <si>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</si>
  <si>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</si>
  <si>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</si>
  <si>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</si>
  <si>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</si>
  <si>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</si>
  <si>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</si>
  <si>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</si>
  <si>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</si>
  <si>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</si>
  <si>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</si>
  <si>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</si>
  <si>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</si>
  <si>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</si>
  <si>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</si>
  <si>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</si>
  <si>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</si>
  <si>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</si>
  <si>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</si>
  <si>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</si>
  <si>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</si>
  <si>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</si>
  <si>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</si>
  <si>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</si>
  <si>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</si>
  <si>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</si>
  <si>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</si>
  <si>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</si>
  <si>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</si>
  <si>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</si>
  <si>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</si>
  <si>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</si>
  <si>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</si>
  <si>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</si>
  <si>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</si>
  <si>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</si>
  <si>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</si>
  <si>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</si>
  <si>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</si>
  <si>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</si>
  <si>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</si>
  <si>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</si>
  <si>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</si>
  <si>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</si>
  <si>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</si>
  <si>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</si>
  <si>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</si>
  <si>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</si>
  <si>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</si>
  <si>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</si>
  <si>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</si>
  <si>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</si>
  <si>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</si>
  <si>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</si>
  <si>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</si>
  <si>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</si>
  <si>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</si>
  <si>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</si>
  <si>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</si>
  <si>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</si>
  <si>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</si>
  <si>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</si>
  <si>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</si>
  <si>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</si>
  <si>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</si>
  <si>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</si>
  <si>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</si>
  <si>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</si>
  <si>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</si>
  <si>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</si>
  <si>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</si>
  <si>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</si>
  <si>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</si>
  <si>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</si>
  <si>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</si>
  <si>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</si>
  <si>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</si>
  <si>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</si>
  <si>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</si>
  <si>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</si>
  <si>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</si>
  <si>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</si>
  <si>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</si>
  <si>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</si>
  <si>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</si>
  <si>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</si>
  <si>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</si>
  <si>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</si>
  <si>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</si>
  <si>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</si>
  <si>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</si>
  <si>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</si>
  <si>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</si>
  <si>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</si>
  <si>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</si>
  <si>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</si>
  <si>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</si>
  <si>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</si>
  <si>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</si>
  <si>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</si>
  <si>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</si>
  <si>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</si>
  <si>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</si>
  <si>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</si>
  <si>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</si>
  <si>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</si>
  <si>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</si>
  <si>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</si>
  <si>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</si>
  <si>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</si>
  <si>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</si>
  <si>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</si>
  <si>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</si>
  <si>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</si>
  <si>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</si>
  <si>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</si>
  <si>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</si>
  <si>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</si>
  <si>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</si>
  <si>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</si>
  <si>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</si>
  <si>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</si>
  <si>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</si>
  <si>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</si>
  <si>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</si>
  <si>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</si>
  <si>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</si>
  <si>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</si>
  <si>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</si>
  <si>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</si>
  <si>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</si>
  <si>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</si>
  <si>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</si>
  <si>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</si>
  <si>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</si>
  <si>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</si>
  <si>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</si>
  <si>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</si>
  <si>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</si>
  <si>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</si>
  <si>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</si>
  <si>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</si>
  <si>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</si>
  <si>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</si>
  <si>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</si>
  <si>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</si>
  <si>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</si>
  <si>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</si>
  <si>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</si>
  <si>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</si>
  <si>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</si>
  <si>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</si>
  <si>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</si>
  <si>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</si>
  <si>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</si>
  <si>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</si>
  <si>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</si>
  <si>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</si>
  <si>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</si>
  <si>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</si>
  <si>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</si>
  <si>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</si>
  <si>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</si>
  <si>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</si>
  <si>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</si>
  <si>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</si>
  <si>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</si>
  <si>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</si>
  <si>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</si>
  <si>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</si>
  <si>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</si>
  <si>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</si>
  <si>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</si>
  <si>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</si>
  <si>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</si>
  <si>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</si>
  <si>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</si>
  <si>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</si>
  <si>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</si>
  <si>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</si>
  <si>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</si>
  <si>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</si>
  <si>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</si>
  <si>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</si>
  <si>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</si>
  <si>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</si>
  <si>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</si>
  <si>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</si>
  <si>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</si>
  <si>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</si>
  <si>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</si>
  <si>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</si>
  <si>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</si>
  <si>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</si>
  <si>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</si>
  <si>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</si>
  <si>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</si>
  <si>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</si>
  <si>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</si>
  <si>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</si>
  <si>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</si>
  <si>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</si>
  <si>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</si>
  <si>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</si>
  <si>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</si>
  <si>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</si>
  <si>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</si>
  <si>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</si>
  <si>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</si>
  <si>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</si>
  <si>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</si>
  <si>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</si>
  <si>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</si>
  <si>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</si>
  <si>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</si>
  <si>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</si>
  <si>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</si>
  <si>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</si>
  <si>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</si>
  <si>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</si>
  <si>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</si>
  <si>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</si>
  <si>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</si>
  <si>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</si>
  <si>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</si>
  <si>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</si>
  <si>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</si>
  <si>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</si>
  <si>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</si>
  <si>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</si>
  <si>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</si>
  <si>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</si>
  <si>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</si>
  <si>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</si>
  <si>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</si>
  <si>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</si>
  <si>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</si>
  <si>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</si>
  <si>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</si>
  <si>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</si>
  <si>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</si>
  <si>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</si>
  <si>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</si>
  <si>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</si>
  <si>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</si>
  <si>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</si>
  <si>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</si>
  <si>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</si>
  <si>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</si>
  <si>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23044</t>
  </si>
  <si>
    <t>LIEDEKERKE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</si>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</sst>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110577.04366847104</c:v>
                </c:pt>
                <c:pt idx="1">
                  <c:v>28850.376409782704</c:v>
                </c:pt>
                <c:pt idx="2">
                  <c:v>569.31600000000003</c:v>
                </c:pt>
                <c:pt idx="3">
                  <c:v>443.49535070348912</c:v>
                </c:pt>
                <c:pt idx="4">
                  <c:v>14488.455662140468</c:v>
                </c:pt>
                <c:pt idx="5">
                  <c:v>29899.357976273393</c:v>
                </c:pt>
                <c:pt idx="6">
                  <c:v>1153.9436447627897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110577.04366847104</c:v>
                </c:pt>
                <c:pt idx="1">
                  <c:v>28850.376409782704</c:v>
                </c:pt>
                <c:pt idx="2">
                  <c:v>569.31600000000003</c:v>
                </c:pt>
                <c:pt idx="3">
                  <c:v>443.49535070348912</c:v>
                </c:pt>
                <c:pt idx="4">
                  <c:v>14488.455662140468</c:v>
                </c:pt>
                <c:pt idx="5">
                  <c:v>29899.357976273393</c:v>
                </c:pt>
                <c:pt idx="6">
                  <c:v>1153.9436447627897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23130.963770754792</c:v>
                </c:pt>
                <c:pt idx="1">
                  <c:v>5831.2177370069594</c:v>
                </c:pt>
                <c:pt idx="2">
                  <c:v>119.12926765633766</c:v>
                </c:pt>
                <c:pt idx="3">
                  <c:v>108.66434721006505</c:v>
                </c:pt>
                <c:pt idx="4">
                  <c:v>3080.1818840506589</c:v>
                </c:pt>
                <c:pt idx="5">
                  <c:v>7418.0899199604019</c:v>
                </c:pt>
                <c:pt idx="6">
                  <c:v>290.96206274144049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23130.963770754792</c:v>
                </c:pt>
                <c:pt idx="1">
                  <c:v>5831.2177370069594</c:v>
                </c:pt>
                <c:pt idx="2">
                  <c:v>119.12926765633766</c:v>
                </c:pt>
                <c:pt idx="3">
                  <c:v>108.66434721006505</c:v>
                </c:pt>
                <c:pt idx="4">
                  <c:v>3080.1818840506589</c:v>
                </c:pt>
                <c:pt idx="5">
                  <c:v>7418.0899199604019</c:v>
                </c:pt>
                <c:pt idx="6">
                  <c:v>290.96206274144049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23044</v>
      </c>
      <c r="B6" s="386"/>
      <c r="C6" s="387"/>
    </row>
    <row r="7" spans="1:7" s="384" customFormat="1" ht="15.75" customHeight="1">
      <c r="A7" s="388" t="str">
        <f>txtMunicipality</f>
        <v>LIEDEKERKE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13663.86126</v>
      </c>
      <c r="D10" s="681">
        <f ca="1">tertiair!C16</f>
        <v>0</v>
      </c>
      <c r="E10" s="681">
        <f ca="1">tertiair!D16</f>
        <v>13125.467881196</v>
      </c>
      <c r="F10" s="681">
        <f>tertiair!E16</f>
        <v>174.02101197754391</v>
      </c>
      <c r="G10" s="681">
        <f ca="1">tertiair!F16</f>
        <v>1499.3662929186553</v>
      </c>
      <c r="H10" s="681">
        <f>tertiair!G16</f>
        <v>0</v>
      </c>
      <c r="I10" s="681">
        <f>tertiair!H16</f>
        <v>0</v>
      </c>
      <c r="J10" s="681">
        <f>tertiair!I16</f>
        <v>0</v>
      </c>
      <c r="K10" s="681">
        <f>tertiair!J16</f>
        <v>2.3961518984840287E-2</v>
      </c>
      <c r="L10" s="681">
        <f>tertiair!K16</f>
        <v>0</v>
      </c>
      <c r="M10" s="681">
        <f ca="1">tertiair!L16</f>
        <v>0</v>
      </c>
      <c r="N10" s="681">
        <f>tertiair!M16</f>
        <v>0</v>
      </c>
      <c r="O10" s="681">
        <f ca="1">tertiair!N16</f>
        <v>947.15748063984029</v>
      </c>
      <c r="P10" s="681">
        <f>tertiair!O16</f>
        <v>9.7945215316823084</v>
      </c>
      <c r="Q10" s="682">
        <f>tertiair!P16</f>
        <v>0</v>
      </c>
      <c r="R10" s="684">
        <f ca="1">SUM(C10:Q10)</f>
        <v>29419.69240978271</v>
      </c>
      <c r="S10" s="67"/>
    </row>
    <row r="11" spans="1:19" s="444" customFormat="1">
      <c r="A11" s="802" t="s">
        <v>219</v>
      </c>
      <c r="B11" s="807"/>
      <c r="C11" s="681">
        <f>huishoudens!B8</f>
        <v>22360.04690307975</v>
      </c>
      <c r="D11" s="681">
        <f>huishoudens!C8</f>
        <v>0</v>
      </c>
      <c r="E11" s="681">
        <f>huishoudens!D8</f>
        <v>44568.92875644</v>
      </c>
      <c r="F11" s="681">
        <f>huishoudens!E8</f>
        <v>2074.8353404936393</v>
      </c>
      <c r="G11" s="681">
        <f>huishoudens!F8</f>
        <v>33449.111042442739</v>
      </c>
      <c r="H11" s="681">
        <f>huishoudens!G8</f>
        <v>0</v>
      </c>
      <c r="I11" s="681">
        <f>huishoudens!H8</f>
        <v>0</v>
      </c>
      <c r="J11" s="681">
        <f>huishoudens!I8</f>
        <v>0</v>
      </c>
      <c r="K11" s="681">
        <f>huishoudens!J8</f>
        <v>133.62772390489698</v>
      </c>
      <c r="L11" s="681">
        <f>huishoudens!K8</f>
        <v>0</v>
      </c>
      <c r="M11" s="681">
        <f>huishoudens!L8</f>
        <v>0</v>
      </c>
      <c r="N11" s="681">
        <f>huishoudens!M8</f>
        <v>0</v>
      </c>
      <c r="O11" s="681">
        <f>huishoudens!N8</f>
        <v>7535.1736867609525</v>
      </c>
      <c r="P11" s="681">
        <f>huishoudens!O8</f>
        <v>234.10706988766975</v>
      </c>
      <c r="Q11" s="682">
        <f>huishoudens!P8</f>
        <v>221.21314546138547</v>
      </c>
      <c r="R11" s="684">
        <f>SUM(C11:Q11)</f>
        <v>110577.04366847104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9591.6109509999987</v>
      </c>
      <c r="D13" s="681">
        <f>industrie!C18</f>
        <v>0</v>
      </c>
      <c r="E13" s="681">
        <f>industrie!D18</f>
        <v>1548.6873413439998</v>
      </c>
      <c r="F13" s="681">
        <f>industrie!E18</f>
        <v>626.83952098311966</v>
      </c>
      <c r="G13" s="681">
        <f>industrie!F18</f>
        <v>2222.9195702856023</v>
      </c>
      <c r="H13" s="681">
        <f>industrie!G18</f>
        <v>0</v>
      </c>
      <c r="I13" s="681">
        <f>industrie!H18</f>
        <v>0</v>
      </c>
      <c r="J13" s="681">
        <f>industrie!I18</f>
        <v>0</v>
      </c>
      <c r="K13" s="681">
        <f>industrie!J18</f>
        <v>69.186801868316678</v>
      </c>
      <c r="L13" s="681">
        <f>industrie!K18</f>
        <v>0</v>
      </c>
      <c r="M13" s="681">
        <f>industrie!L18</f>
        <v>0</v>
      </c>
      <c r="N13" s="681">
        <f>industrie!M18</f>
        <v>0</v>
      </c>
      <c r="O13" s="681">
        <f>industrie!N18</f>
        <v>429.2114766594292</v>
      </c>
      <c r="P13" s="681">
        <f>industrie!O18</f>
        <v>0</v>
      </c>
      <c r="Q13" s="682">
        <f>industrie!P18</f>
        <v>0</v>
      </c>
      <c r="R13" s="684">
        <f>SUM(C13:Q13)</f>
        <v>14488.455662140468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45615.519114079754</v>
      </c>
      <c r="D16" s="717">
        <f t="shared" ref="D16:R16" ca="1" si="0">SUM(D9:D15)</f>
        <v>0</v>
      </c>
      <c r="E16" s="717">
        <f t="shared" ca="1" si="0"/>
        <v>59243.083978980001</v>
      </c>
      <c r="F16" s="717">
        <f t="shared" si="0"/>
        <v>2875.6958734543027</v>
      </c>
      <c r="G16" s="717">
        <f t="shared" ca="1" si="0"/>
        <v>37171.396905646994</v>
      </c>
      <c r="H16" s="717">
        <f t="shared" si="0"/>
        <v>0</v>
      </c>
      <c r="I16" s="717">
        <f t="shared" si="0"/>
        <v>0</v>
      </c>
      <c r="J16" s="717">
        <f t="shared" si="0"/>
        <v>0</v>
      </c>
      <c r="K16" s="717">
        <f t="shared" si="0"/>
        <v>202.83848729219849</v>
      </c>
      <c r="L16" s="717">
        <f t="shared" si="0"/>
        <v>0</v>
      </c>
      <c r="M16" s="717">
        <f t="shared" ca="1" si="0"/>
        <v>0</v>
      </c>
      <c r="N16" s="717">
        <f t="shared" si="0"/>
        <v>0</v>
      </c>
      <c r="O16" s="717">
        <f t="shared" ca="1" si="0"/>
        <v>8911.5426440602223</v>
      </c>
      <c r="P16" s="717">
        <f t="shared" si="0"/>
        <v>243.90159141935206</v>
      </c>
      <c r="Q16" s="717">
        <f t="shared" si="0"/>
        <v>221.21314546138547</v>
      </c>
      <c r="R16" s="717">
        <f t="shared" ca="1" si="0"/>
        <v>154485.19174039422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14.88007618525501</v>
      </c>
      <c r="D19" s="681">
        <f>transport!C54</f>
        <v>0</v>
      </c>
      <c r="E19" s="681">
        <f>transport!D54</f>
        <v>0</v>
      </c>
      <c r="F19" s="681">
        <f>transport!E54</f>
        <v>0</v>
      </c>
      <c r="G19" s="681">
        <f>transport!F54</f>
        <v>0</v>
      </c>
      <c r="H19" s="681">
        <f>transport!G54</f>
        <v>1078.0839309101796</v>
      </c>
      <c r="I19" s="681">
        <f>transport!H54</f>
        <v>0</v>
      </c>
      <c r="J19" s="681">
        <f>transport!I54</f>
        <v>0</v>
      </c>
      <c r="K19" s="681">
        <f>transport!J54</f>
        <v>0</v>
      </c>
      <c r="L19" s="681">
        <f>transport!K54</f>
        <v>0</v>
      </c>
      <c r="M19" s="681">
        <f>transport!L54</f>
        <v>0</v>
      </c>
      <c r="N19" s="681">
        <f>transport!M54</f>
        <v>60.979637667355071</v>
      </c>
      <c r="O19" s="681">
        <f>transport!N54</f>
        <v>0</v>
      </c>
      <c r="P19" s="681">
        <f>transport!O54</f>
        <v>0</v>
      </c>
      <c r="Q19" s="682">
        <f>transport!P54</f>
        <v>0</v>
      </c>
      <c r="R19" s="684">
        <f>SUM(C19:Q19)</f>
        <v>1153.9436447627897</v>
      </c>
      <c r="S19" s="67"/>
    </row>
    <row r="20" spans="1:19" s="444" customFormat="1">
      <c r="A20" s="802" t="s">
        <v>301</v>
      </c>
      <c r="B20" s="807"/>
      <c r="C20" s="681">
        <f>transport!B14</f>
        <v>36.182399054770016</v>
      </c>
      <c r="D20" s="681">
        <f>transport!C14</f>
        <v>0</v>
      </c>
      <c r="E20" s="681">
        <f>transport!D14</f>
        <v>69.160179111472132</v>
      </c>
      <c r="F20" s="681">
        <f>transport!E14</f>
        <v>59.199882492454606</v>
      </c>
      <c r="G20" s="681">
        <f>transport!F14</f>
        <v>0</v>
      </c>
      <c r="H20" s="681">
        <f>transport!G14</f>
        <v>21944.747602520754</v>
      </c>
      <c r="I20" s="681">
        <f>transport!H14</f>
        <v>6119.9293986902485</v>
      </c>
      <c r="J20" s="681">
        <f>transport!I14</f>
        <v>0</v>
      </c>
      <c r="K20" s="681">
        <f>transport!J14</f>
        <v>0</v>
      </c>
      <c r="L20" s="681">
        <f>transport!K14</f>
        <v>0</v>
      </c>
      <c r="M20" s="681">
        <f>transport!L14</f>
        <v>0</v>
      </c>
      <c r="N20" s="681">
        <f>transport!M14</f>
        <v>1670.138514403694</v>
      </c>
      <c r="O20" s="681">
        <f>transport!N14</f>
        <v>0</v>
      </c>
      <c r="P20" s="681">
        <f>transport!O14</f>
        <v>0</v>
      </c>
      <c r="Q20" s="682">
        <f>transport!P14</f>
        <v>0</v>
      </c>
      <c r="R20" s="684">
        <f>SUM(C20:Q20)</f>
        <v>29899.357976273393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51.062475240025023</v>
      </c>
      <c r="D22" s="805">
        <f t="shared" ref="D22:R22" si="1">SUM(D18:D21)</f>
        <v>0</v>
      </c>
      <c r="E22" s="805">
        <f t="shared" si="1"/>
        <v>69.160179111472132</v>
      </c>
      <c r="F22" s="805">
        <f t="shared" si="1"/>
        <v>59.199882492454606</v>
      </c>
      <c r="G22" s="805">
        <f t="shared" si="1"/>
        <v>0</v>
      </c>
      <c r="H22" s="805">
        <f t="shared" si="1"/>
        <v>23022.831533430934</v>
      </c>
      <c r="I22" s="805">
        <f t="shared" si="1"/>
        <v>6119.9293986902485</v>
      </c>
      <c r="J22" s="805">
        <f t="shared" si="1"/>
        <v>0</v>
      </c>
      <c r="K22" s="805">
        <f t="shared" si="1"/>
        <v>0</v>
      </c>
      <c r="L22" s="805">
        <f t="shared" si="1"/>
        <v>0</v>
      </c>
      <c r="M22" s="805">
        <f t="shared" si="1"/>
        <v>0</v>
      </c>
      <c r="N22" s="805">
        <f t="shared" si="1"/>
        <v>1731.1181520710491</v>
      </c>
      <c r="O22" s="805">
        <f t="shared" si="1"/>
        <v>0</v>
      </c>
      <c r="P22" s="805">
        <f t="shared" si="1"/>
        <v>0</v>
      </c>
      <c r="Q22" s="805">
        <f t="shared" si="1"/>
        <v>0</v>
      </c>
      <c r="R22" s="805">
        <f t="shared" si="1"/>
        <v>31053.301621036182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68.228282000000007</v>
      </c>
      <c r="D24" s="681">
        <f>+landbouw!C8</f>
        <v>0</v>
      </c>
      <c r="E24" s="681">
        <f>+landbouw!D8</f>
        <v>113.21401495800001</v>
      </c>
      <c r="F24" s="681">
        <f>+landbouw!E8</f>
        <v>2.1293821823082397</v>
      </c>
      <c r="G24" s="681">
        <f>+landbouw!F8</f>
        <v>241.12630671319198</v>
      </c>
      <c r="H24" s="681">
        <f>+landbouw!G8</f>
        <v>0</v>
      </c>
      <c r="I24" s="681">
        <f>+landbouw!H8</f>
        <v>0</v>
      </c>
      <c r="J24" s="681">
        <f>+landbouw!I8</f>
        <v>0</v>
      </c>
      <c r="K24" s="681">
        <f>+landbouw!J8</f>
        <v>18.797364849988934</v>
      </c>
      <c r="L24" s="681">
        <f>+landbouw!K8</f>
        <v>0</v>
      </c>
      <c r="M24" s="681">
        <f>+landbouw!L8</f>
        <v>0</v>
      </c>
      <c r="N24" s="681">
        <f>+landbouw!M8</f>
        <v>0</v>
      </c>
      <c r="O24" s="681">
        <f>+landbouw!N8</f>
        <v>0</v>
      </c>
      <c r="P24" s="681">
        <f>+landbouw!O8</f>
        <v>0</v>
      </c>
      <c r="Q24" s="682">
        <f>+landbouw!P8</f>
        <v>0</v>
      </c>
      <c r="R24" s="684">
        <f>SUM(C24:Q24)</f>
        <v>443.49535070348912</v>
      </c>
      <c r="S24" s="67"/>
    </row>
    <row r="25" spans="1:19" s="444" customFormat="1" ht="15" thickBot="1">
      <c r="A25" s="824" t="s">
        <v>714</v>
      </c>
      <c r="B25" s="943"/>
      <c r="C25" s="944">
        <f>IF(Onbekend_ele_kWh="---",0,Onbekend_ele_kWh)/1000+IF(REST_rest_ele_kWh="---",0,REST_rest_ele_kWh)/1000</f>
        <v>627.76225999999997</v>
      </c>
      <c r="D25" s="944"/>
      <c r="E25" s="944">
        <f>IF(onbekend_gas_kWh="---",0,onbekend_gas_kWh)/1000+IF(REST_rest_gas_kWh="---",0,REST_rest_gas_kWh)/1000</f>
        <v>2187.3795770000002</v>
      </c>
      <c r="F25" s="944"/>
      <c r="G25" s="944"/>
      <c r="H25" s="944"/>
      <c r="I25" s="944"/>
      <c r="J25" s="944"/>
      <c r="K25" s="944"/>
      <c r="L25" s="944"/>
      <c r="M25" s="944"/>
      <c r="N25" s="944"/>
      <c r="O25" s="944"/>
      <c r="P25" s="944"/>
      <c r="Q25" s="945"/>
      <c r="R25" s="684">
        <f>SUM(C25:Q25)</f>
        <v>2815.1418370000001</v>
      </c>
      <c r="S25" s="67"/>
    </row>
    <row r="26" spans="1:19" s="444" customFormat="1" ht="15.75" thickBot="1">
      <c r="A26" s="689" t="s">
        <v>715</v>
      </c>
      <c r="B26" s="810"/>
      <c r="C26" s="805">
        <f>SUM(C24:C25)</f>
        <v>695.990542</v>
      </c>
      <c r="D26" s="805">
        <f t="shared" ref="D26:R26" si="2">SUM(D24:D25)</f>
        <v>0</v>
      </c>
      <c r="E26" s="805">
        <f t="shared" si="2"/>
        <v>2300.5935919580002</v>
      </c>
      <c r="F26" s="805">
        <f t="shared" si="2"/>
        <v>2.1293821823082397</v>
      </c>
      <c r="G26" s="805">
        <f t="shared" si="2"/>
        <v>241.12630671319198</v>
      </c>
      <c r="H26" s="805">
        <f t="shared" si="2"/>
        <v>0</v>
      </c>
      <c r="I26" s="805">
        <f t="shared" si="2"/>
        <v>0</v>
      </c>
      <c r="J26" s="805">
        <f t="shared" si="2"/>
        <v>0</v>
      </c>
      <c r="K26" s="805">
        <f t="shared" si="2"/>
        <v>18.797364849988934</v>
      </c>
      <c r="L26" s="805">
        <f t="shared" si="2"/>
        <v>0</v>
      </c>
      <c r="M26" s="805">
        <f t="shared" si="2"/>
        <v>0</v>
      </c>
      <c r="N26" s="805">
        <f t="shared" si="2"/>
        <v>0</v>
      </c>
      <c r="O26" s="805">
        <f t="shared" si="2"/>
        <v>0</v>
      </c>
      <c r="P26" s="805">
        <f t="shared" si="2"/>
        <v>0</v>
      </c>
      <c r="Q26" s="805">
        <f t="shared" si="2"/>
        <v>0</v>
      </c>
      <c r="R26" s="805">
        <f t="shared" si="2"/>
        <v>3258.6371877034894</v>
      </c>
      <c r="S26" s="67"/>
    </row>
    <row r="27" spans="1:19" s="444" customFormat="1" ht="17.25" thickTop="1" thickBot="1">
      <c r="A27" s="690" t="s">
        <v>115</v>
      </c>
      <c r="B27" s="797"/>
      <c r="C27" s="691">
        <f ca="1">C22+C16+C26</f>
        <v>46362.572131319779</v>
      </c>
      <c r="D27" s="691">
        <f t="shared" ref="D27:R27" ca="1" si="3">D22+D16+D26</f>
        <v>0</v>
      </c>
      <c r="E27" s="691">
        <f t="shared" ca="1" si="3"/>
        <v>61612.837750049475</v>
      </c>
      <c r="F27" s="691">
        <f t="shared" si="3"/>
        <v>2937.0251381290655</v>
      </c>
      <c r="G27" s="691">
        <f t="shared" ca="1" si="3"/>
        <v>37412.523212360189</v>
      </c>
      <c r="H27" s="691">
        <f t="shared" si="3"/>
        <v>23022.831533430934</v>
      </c>
      <c r="I27" s="691">
        <f t="shared" si="3"/>
        <v>6119.9293986902485</v>
      </c>
      <c r="J27" s="691">
        <f t="shared" si="3"/>
        <v>0</v>
      </c>
      <c r="K27" s="691">
        <f t="shared" si="3"/>
        <v>221.63585214218742</v>
      </c>
      <c r="L27" s="691">
        <f t="shared" si="3"/>
        <v>0</v>
      </c>
      <c r="M27" s="691">
        <f t="shared" ca="1" si="3"/>
        <v>0</v>
      </c>
      <c r="N27" s="691">
        <f t="shared" si="3"/>
        <v>1731.1181520710491</v>
      </c>
      <c r="O27" s="691">
        <f t="shared" ca="1" si="3"/>
        <v>8911.5426440602223</v>
      </c>
      <c r="P27" s="691">
        <f t="shared" si="3"/>
        <v>243.90159141935206</v>
      </c>
      <c r="Q27" s="691">
        <f t="shared" si="3"/>
        <v>221.21314546138547</v>
      </c>
      <c r="R27" s="691">
        <f t="shared" ca="1" si="3"/>
        <v>188797.1305491339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2859.1604403558003</v>
      </c>
      <c r="D40" s="681">
        <f ca="1">tertiair!C20</f>
        <v>0</v>
      </c>
      <c r="E40" s="681">
        <f ca="1">tertiair!D20</f>
        <v>2651.3445120015922</v>
      </c>
      <c r="F40" s="681">
        <f>tertiair!E20</f>
        <v>39.502769718902471</v>
      </c>
      <c r="G40" s="681">
        <f ca="1">tertiair!F20</f>
        <v>400.33080020928099</v>
      </c>
      <c r="H40" s="681">
        <f>tertiair!G20</f>
        <v>0</v>
      </c>
      <c r="I40" s="681">
        <f>tertiair!H20</f>
        <v>0</v>
      </c>
      <c r="J40" s="681">
        <f>tertiair!I20</f>
        <v>0</v>
      </c>
      <c r="K40" s="681">
        <f>tertiair!J20</f>
        <v>8.4823777206334619E-3</v>
      </c>
      <c r="L40" s="681">
        <f>tertiair!K20</f>
        <v>0</v>
      </c>
      <c r="M40" s="681">
        <f ca="1">tertiair!L20</f>
        <v>0</v>
      </c>
      <c r="N40" s="681">
        <f>tertiair!M20</f>
        <v>0</v>
      </c>
      <c r="O40" s="681">
        <f ca="1">tertiair!N20</f>
        <v>0</v>
      </c>
      <c r="P40" s="681">
        <f>tertiair!O20</f>
        <v>0</v>
      </c>
      <c r="Q40" s="764">
        <f>tertiair!P20</f>
        <v>0</v>
      </c>
      <c r="R40" s="843">
        <f t="shared" ca="1" si="4"/>
        <v>5950.3470046632965</v>
      </c>
    </row>
    <row r="41" spans="1:18">
      <c r="A41" s="815" t="s">
        <v>219</v>
      </c>
      <c r="B41" s="822"/>
      <c r="C41" s="681">
        <f ca="1">huishoudens!B12</f>
        <v>4678.8356770673072</v>
      </c>
      <c r="D41" s="681">
        <f ca="1">huishoudens!C12</f>
        <v>0</v>
      </c>
      <c r="E41" s="681">
        <f>huishoudens!D12</f>
        <v>9002.9236088008802</v>
      </c>
      <c r="F41" s="681">
        <f>huishoudens!E12</f>
        <v>470.98762229205613</v>
      </c>
      <c r="G41" s="681">
        <f>huishoudens!F12</f>
        <v>8930.9126483322125</v>
      </c>
      <c r="H41" s="681">
        <f>huishoudens!G12</f>
        <v>0</v>
      </c>
      <c r="I41" s="681">
        <f>huishoudens!H12</f>
        <v>0</v>
      </c>
      <c r="J41" s="681">
        <f>huishoudens!I12</f>
        <v>0</v>
      </c>
      <c r="K41" s="681">
        <f>huishoudens!J12</f>
        <v>47.304214262333531</v>
      </c>
      <c r="L41" s="681">
        <f>huishoudens!K12</f>
        <v>0</v>
      </c>
      <c r="M41" s="681">
        <f>huishoudens!L12</f>
        <v>0</v>
      </c>
      <c r="N41" s="681">
        <f>huishoudens!M12</f>
        <v>0</v>
      </c>
      <c r="O41" s="681">
        <f>huishoudens!N12</f>
        <v>0</v>
      </c>
      <c r="P41" s="681">
        <f>huishoudens!O12</f>
        <v>0</v>
      </c>
      <c r="Q41" s="764">
        <f>huishoudens!P12</f>
        <v>0</v>
      </c>
      <c r="R41" s="843">
        <f t="shared" ca="1" si="4"/>
        <v>23130.963770754792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2007.0428167083626</v>
      </c>
      <c r="D43" s="681">
        <f ca="1">industrie!C22</f>
        <v>0</v>
      </c>
      <c r="E43" s="681">
        <f>industrie!D22</f>
        <v>312.83484295148799</v>
      </c>
      <c r="F43" s="681">
        <f>industrie!E22</f>
        <v>142.29257126316816</v>
      </c>
      <c r="G43" s="681">
        <f>industrie!F22</f>
        <v>593.51952526625587</v>
      </c>
      <c r="H43" s="681">
        <f>industrie!G22</f>
        <v>0</v>
      </c>
      <c r="I43" s="681">
        <f>industrie!H22</f>
        <v>0</v>
      </c>
      <c r="J43" s="681">
        <f>industrie!I22</f>
        <v>0</v>
      </c>
      <c r="K43" s="681">
        <f>industrie!J22</f>
        <v>24.492127861384102</v>
      </c>
      <c r="L43" s="681">
        <f>industrie!K22</f>
        <v>0</v>
      </c>
      <c r="M43" s="681">
        <f>industrie!L22</f>
        <v>0</v>
      </c>
      <c r="N43" s="681">
        <f>industrie!M22</f>
        <v>0</v>
      </c>
      <c r="O43" s="681">
        <f>industrie!N22</f>
        <v>0</v>
      </c>
      <c r="P43" s="681">
        <f>industrie!O22</f>
        <v>0</v>
      </c>
      <c r="Q43" s="764">
        <f>industrie!P22</f>
        <v>0</v>
      </c>
      <c r="R43" s="842">
        <f t="shared" ca="1" si="4"/>
        <v>3080.1818840506589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9545.0389341314694</v>
      </c>
      <c r="D46" s="717">
        <f t="shared" ref="D46:Q46" ca="1" si="5">SUM(D39:D45)</f>
        <v>0</v>
      </c>
      <c r="E46" s="717">
        <f t="shared" ca="1" si="5"/>
        <v>11967.102963753961</v>
      </c>
      <c r="F46" s="717">
        <f t="shared" si="5"/>
        <v>652.78296327412681</v>
      </c>
      <c r="G46" s="717">
        <f t="shared" ca="1" si="5"/>
        <v>9924.7629738077503</v>
      </c>
      <c r="H46" s="717">
        <f t="shared" si="5"/>
        <v>0</v>
      </c>
      <c r="I46" s="717">
        <f t="shared" si="5"/>
        <v>0</v>
      </c>
      <c r="J46" s="717">
        <f t="shared" si="5"/>
        <v>0</v>
      </c>
      <c r="K46" s="717">
        <f t="shared" si="5"/>
        <v>71.804824501438262</v>
      </c>
      <c r="L46" s="717">
        <f t="shared" si="5"/>
        <v>0</v>
      </c>
      <c r="M46" s="717">
        <f t="shared" ca="1" si="5"/>
        <v>0</v>
      </c>
      <c r="N46" s="717">
        <f t="shared" si="5"/>
        <v>0</v>
      </c>
      <c r="O46" s="717">
        <f t="shared" ca="1" si="5"/>
        <v>0</v>
      </c>
      <c r="P46" s="717">
        <f t="shared" si="5"/>
        <v>0</v>
      </c>
      <c r="Q46" s="717">
        <f t="shared" si="5"/>
        <v>0</v>
      </c>
      <c r="R46" s="717">
        <f ca="1">SUM(R39:R45)</f>
        <v>32161.492659468749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3.1136531884224925</v>
      </c>
      <c r="D49" s="681">
        <f ca="1">transport!C58</f>
        <v>0</v>
      </c>
      <c r="E49" s="681">
        <f>transport!D58</f>
        <v>0</v>
      </c>
      <c r="F49" s="681">
        <f>transport!E58</f>
        <v>0</v>
      </c>
      <c r="G49" s="681">
        <f>transport!F58</f>
        <v>0</v>
      </c>
      <c r="H49" s="681">
        <f>transport!G58</f>
        <v>287.84840955301797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290.96206274144049</v>
      </c>
    </row>
    <row r="50" spans="1:18">
      <c r="A50" s="818" t="s">
        <v>301</v>
      </c>
      <c r="B50" s="828"/>
      <c r="C50" s="687">
        <f ca="1">transport!B18</f>
        <v>7.5711603071828577</v>
      </c>
      <c r="D50" s="687">
        <f>transport!C18</f>
        <v>0</v>
      </c>
      <c r="E50" s="687">
        <f>transport!D18</f>
        <v>13.970356180517372</v>
      </c>
      <c r="F50" s="687">
        <f>transport!E18</f>
        <v>13.438373325787197</v>
      </c>
      <c r="G50" s="687">
        <f>transport!F18</f>
        <v>0</v>
      </c>
      <c r="H50" s="687">
        <f>transport!G18</f>
        <v>5859.2476098730422</v>
      </c>
      <c r="I50" s="687">
        <f>transport!H18</f>
        <v>1523.862420273872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7418.0899199604019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10.684813495605351</v>
      </c>
      <c r="D52" s="717">
        <f t="shared" ref="D52:Q52" ca="1" si="6">SUM(D48:D51)</f>
        <v>0</v>
      </c>
      <c r="E52" s="717">
        <f t="shared" si="6"/>
        <v>13.970356180517372</v>
      </c>
      <c r="F52" s="717">
        <f t="shared" si="6"/>
        <v>13.438373325787197</v>
      </c>
      <c r="G52" s="717">
        <f t="shared" si="6"/>
        <v>0</v>
      </c>
      <c r="H52" s="717">
        <f t="shared" si="6"/>
        <v>6147.0960194260606</v>
      </c>
      <c r="I52" s="717">
        <f t="shared" si="6"/>
        <v>1523.862420273872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7709.0519827018425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14.27675538384673</v>
      </c>
      <c r="D54" s="687">
        <f ca="1">+landbouw!C12</f>
        <v>0</v>
      </c>
      <c r="E54" s="687">
        <f>+landbouw!D12</f>
        <v>22.869231021516004</v>
      </c>
      <c r="F54" s="687">
        <f>+landbouw!E12</f>
        <v>0.48336975538397042</v>
      </c>
      <c r="G54" s="687">
        <f>+landbouw!F12</f>
        <v>64.380723892422267</v>
      </c>
      <c r="H54" s="687">
        <f>+landbouw!G12</f>
        <v>0</v>
      </c>
      <c r="I54" s="687">
        <f>+landbouw!H12</f>
        <v>0</v>
      </c>
      <c r="J54" s="687">
        <f>+landbouw!I12</f>
        <v>0</v>
      </c>
      <c r="K54" s="687">
        <f>+landbouw!J12</f>
        <v>6.6542671568960827</v>
      </c>
      <c r="L54" s="687">
        <f>+landbouw!K12</f>
        <v>0</v>
      </c>
      <c r="M54" s="687">
        <f>+landbouw!L12</f>
        <v>0</v>
      </c>
      <c r="N54" s="687">
        <f>+landbouw!M12</f>
        <v>0</v>
      </c>
      <c r="O54" s="687">
        <f>+landbouw!N12</f>
        <v>0</v>
      </c>
      <c r="P54" s="687">
        <f>+landbouw!O12</f>
        <v>0</v>
      </c>
      <c r="Q54" s="688">
        <f>+landbouw!P12</f>
        <v>0</v>
      </c>
      <c r="R54" s="716">
        <f ca="1">SUM(C54:Q54)</f>
        <v>108.66434721006505</v>
      </c>
    </row>
    <row r="55" spans="1:18" ht="15" thickBot="1">
      <c r="A55" s="818" t="s">
        <v>714</v>
      </c>
      <c r="B55" s="828"/>
      <c r="C55" s="687">
        <f ca="1">C25*'EF ele_warmte'!B12</f>
        <v>131.35913674670556</v>
      </c>
      <c r="D55" s="687"/>
      <c r="E55" s="687">
        <f>E25*EF_CO2_aardgas</f>
        <v>441.85067455400008</v>
      </c>
      <c r="F55" s="687"/>
      <c r="G55" s="687"/>
      <c r="H55" s="687"/>
      <c r="I55" s="687"/>
      <c r="J55" s="687"/>
      <c r="K55" s="687"/>
      <c r="L55" s="687"/>
      <c r="M55" s="687"/>
      <c r="N55" s="687"/>
      <c r="O55" s="687"/>
      <c r="P55" s="687"/>
      <c r="Q55" s="688"/>
      <c r="R55" s="716">
        <f ca="1">SUM(C55:Q55)</f>
        <v>573.20981130070561</v>
      </c>
    </row>
    <row r="56" spans="1:18" ht="15.75" thickBot="1">
      <c r="A56" s="816" t="s">
        <v>715</v>
      </c>
      <c r="B56" s="829"/>
      <c r="C56" s="717">
        <f ca="1">SUM(C54:C55)</f>
        <v>145.63589213055229</v>
      </c>
      <c r="D56" s="717">
        <f t="shared" ref="D56:Q56" ca="1" si="7">SUM(D54:D55)</f>
        <v>0</v>
      </c>
      <c r="E56" s="717">
        <f t="shared" si="7"/>
        <v>464.71990557551607</v>
      </c>
      <c r="F56" s="717">
        <f t="shared" si="7"/>
        <v>0.48336975538397042</v>
      </c>
      <c r="G56" s="717">
        <f t="shared" si="7"/>
        <v>64.380723892422267</v>
      </c>
      <c r="H56" s="717">
        <f t="shared" si="7"/>
        <v>0</v>
      </c>
      <c r="I56" s="717">
        <f t="shared" si="7"/>
        <v>0</v>
      </c>
      <c r="J56" s="717">
        <f t="shared" si="7"/>
        <v>0</v>
      </c>
      <c r="K56" s="717">
        <f t="shared" si="7"/>
        <v>6.6542671568960827</v>
      </c>
      <c r="L56" s="717">
        <f t="shared" si="7"/>
        <v>0</v>
      </c>
      <c r="M56" s="717">
        <f t="shared" si="7"/>
        <v>0</v>
      </c>
      <c r="N56" s="717">
        <f t="shared" si="7"/>
        <v>0</v>
      </c>
      <c r="O56" s="717">
        <f t="shared" si="7"/>
        <v>0</v>
      </c>
      <c r="P56" s="717">
        <f t="shared" si="7"/>
        <v>0</v>
      </c>
      <c r="Q56" s="718">
        <f t="shared" si="7"/>
        <v>0</v>
      </c>
      <c r="R56" s="719">
        <f ca="1">SUM(R54:R55)</f>
        <v>681.87415851077071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9701.3596397576275</v>
      </c>
      <c r="D61" s="725">
        <f t="shared" ref="D61:Q61" ca="1" si="8">D46+D52+D56</f>
        <v>0</v>
      </c>
      <c r="E61" s="725">
        <f t="shared" ca="1" si="8"/>
        <v>12445.793225509995</v>
      </c>
      <c r="F61" s="725">
        <f t="shared" si="8"/>
        <v>666.70470635529796</v>
      </c>
      <c r="G61" s="725">
        <f t="shared" ca="1" si="8"/>
        <v>9989.1436977001722</v>
      </c>
      <c r="H61" s="725">
        <f t="shared" si="8"/>
        <v>6147.0960194260606</v>
      </c>
      <c r="I61" s="725">
        <f t="shared" si="8"/>
        <v>1523.862420273872</v>
      </c>
      <c r="J61" s="725">
        <f t="shared" si="8"/>
        <v>0</v>
      </c>
      <c r="K61" s="725">
        <f t="shared" si="8"/>
        <v>78.459091658334344</v>
      </c>
      <c r="L61" s="725">
        <f t="shared" si="8"/>
        <v>0</v>
      </c>
      <c r="M61" s="725">
        <f t="shared" ca="1" si="8"/>
        <v>0</v>
      </c>
      <c r="N61" s="725">
        <f t="shared" si="8"/>
        <v>0</v>
      </c>
      <c r="O61" s="725">
        <f t="shared" ca="1" si="8"/>
        <v>0</v>
      </c>
      <c r="P61" s="725">
        <f t="shared" si="8"/>
        <v>0</v>
      </c>
      <c r="Q61" s="725">
        <f t="shared" si="8"/>
        <v>0</v>
      </c>
      <c r="R61" s="725">
        <f ca="1">R46+R52+R56</f>
        <v>40552.418800681364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0.20924981496451464</v>
      </c>
      <c r="D63" s="771">
        <f t="shared" ca="1" si="9"/>
        <v>0</v>
      </c>
      <c r="E63" s="969">
        <f t="shared" ca="1" si="9"/>
        <v>0.20200000000000001</v>
      </c>
      <c r="F63" s="771">
        <f t="shared" si="9"/>
        <v>0.22700000000000004</v>
      </c>
      <c r="G63" s="771">
        <f t="shared" ca="1" si="9"/>
        <v>0.26700000000000007</v>
      </c>
      <c r="H63" s="771">
        <f t="shared" si="9"/>
        <v>0.26700000000000007</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2465.0172002897825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2465.0172002897825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22360.04690307975</v>
      </c>
      <c r="C4" s="448">
        <f>huishoudens!C8</f>
        <v>0</v>
      </c>
      <c r="D4" s="448">
        <f>huishoudens!D8</f>
        <v>44568.92875644</v>
      </c>
      <c r="E4" s="448">
        <f>huishoudens!E8</f>
        <v>2074.8353404936393</v>
      </c>
      <c r="F4" s="448">
        <f>huishoudens!F8</f>
        <v>33449.111042442739</v>
      </c>
      <c r="G4" s="448">
        <f>huishoudens!G8</f>
        <v>0</v>
      </c>
      <c r="H4" s="448">
        <f>huishoudens!H8</f>
        <v>0</v>
      </c>
      <c r="I4" s="448">
        <f>huishoudens!I8</f>
        <v>0</v>
      </c>
      <c r="J4" s="448">
        <f>huishoudens!J8</f>
        <v>133.62772390489698</v>
      </c>
      <c r="K4" s="448">
        <f>huishoudens!K8</f>
        <v>0</v>
      </c>
      <c r="L4" s="448">
        <f>huishoudens!L8</f>
        <v>0</v>
      </c>
      <c r="M4" s="448">
        <f>huishoudens!M8</f>
        <v>0</v>
      </c>
      <c r="N4" s="448">
        <f>huishoudens!N8</f>
        <v>7535.1736867609525</v>
      </c>
      <c r="O4" s="448">
        <f>huishoudens!O8</f>
        <v>234.10706988766975</v>
      </c>
      <c r="P4" s="449">
        <f>huishoudens!P8</f>
        <v>221.21314546138547</v>
      </c>
      <c r="Q4" s="450">
        <f>SUM(B4:P4)</f>
        <v>110577.04366847104</v>
      </c>
    </row>
    <row r="5" spans="1:17">
      <c r="A5" s="447" t="s">
        <v>155</v>
      </c>
      <c r="B5" s="448">
        <f ca="1">tertiair!B16</f>
        <v>13094.545259999999</v>
      </c>
      <c r="C5" s="448">
        <f ca="1">tertiair!C16</f>
        <v>0</v>
      </c>
      <c r="D5" s="448">
        <f ca="1">tertiair!D16</f>
        <v>13125.467881196</v>
      </c>
      <c r="E5" s="448">
        <f>tertiair!E16</f>
        <v>174.02101197754391</v>
      </c>
      <c r="F5" s="448">
        <f ca="1">tertiair!F16</f>
        <v>1499.3662929186553</v>
      </c>
      <c r="G5" s="448">
        <f>tertiair!G16</f>
        <v>0</v>
      </c>
      <c r="H5" s="448">
        <f>tertiair!H16</f>
        <v>0</v>
      </c>
      <c r="I5" s="448">
        <f>tertiair!I16</f>
        <v>0</v>
      </c>
      <c r="J5" s="448">
        <f>tertiair!J16</f>
        <v>2.3961518984840287E-2</v>
      </c>
      <c r="K5" s="448">
        <f>tertiair!K16</f>
        <v>0</v>
      </c>
      <c r="L5" s="448">
        <f ca="1">tertiair!L16</f>
        <v>0</v>
      </c>
      <c r="M5" s="448">
        <f>tertiair!M16</f>
        <v>0</v>
      </c>
      <c r="N5" s="448">
        <f ca="1">tertiair!N16</f>
        <v>947.15748063984029</v>
      </c>
      <c r="O5" s="448">
        <f>tertiair!O16</f>
        <v>9.7945215316823084</v>
      </c>
      <c r="P5" s="449">
        <f>tertiair!P16</f>
        <v>0</v>
      </c>
      <c r="Q5" s="447">
        <f t="shared" ref="Q5:Q14" ca="1" si="0">SUM(B5:P5)</f>
        <v>28850.376409782704</v>
      </c>
    </row>
    <row r="6" spans="1:17">
      <c r="A6" s="447" t="s">
        <v>193</v>
      </c>
      <c r="B6" s="448">
        <f>'openbare verlichting'!B8</f>
        <v>569.31600000000003</v>
      </c>
      <c r="C6" s="448"/>
      <c r="D6" s="448"/>
      <c r="E6" s="448"/>
      <c r="F6" s="448"/>
      <c r="G6" s="448"/>
      <c r="H6" s="448"/>
      <c r="I6" s="448"/>
      <c r="J6" s="448"/>
      <c r="K6" s="448"/>
      <c r="L6" s="448"/>
      <c r="M6" s="448"/>
      <c r="N6" s="448"/>
      <c r="O6" s="448"/>
      <c r="P6" s="449"/>
      <c r="Q6" s="447">
        <f t="shared" si="0"/>
        <v>569.31600000000003</v>
      </c>
    </row>
    <row r="7" spans="1:17">
      <c r="A7" s="447" t="s">
        <v>111</v>
      </c>
      <c r="B7" s="448">
        <f>landbouw!B8</f>
        <v>68.228282000000007</v>
      </c>
      <c r="C7" s="448">
        <f>landbouw!C8</f>
        <v>0</v>
      </c>
      <c r="D7" s="448">
        <f>landbouw!D8</f>
        <v>113.21401495800001</v>
      </c>
      <c r="E7" s="448">
        <f>landbouw!E8</f>
        <v>2.1293821823082397</v>
      </c>
      <c r="F7" s="448">
        <f>landbouw!F8</f>
        <v>241.12630671319198</v>
      </c>
      <c r="G7" s="448">
        <f>landbouw!G8</f>
        <v>0</v>
      </c>
      <c r="H7" s="448">
        <f>landbouw!H8</f>
        <v>0</v>
      </c>
      <c r="I7" s="448">
        <f>landbouw!I8</f>
        <v>0</v>
      </c>
      <c r="J7" s="448">
        <f>landbouw!J8</f>
        <v>18.797364849988934</v>
      </c>
      <c r="K7" s="448">
        <f>landbouw!K8</f>
        <v>0</v>
      </c>
      <c r="L7" s="448">
        <f>landbouw!L8</f>
        <v>0</v>
      </c>
      <c r="M7" s="448">
        <f>landbouw!M8</f>
        <v>0</v>
      </c>
      <c r="N7" s="448">
        <f>landbouw!N8</f>
        <v>0</v>
      </c>
      <c r="O7" s="448">
        <f>landbouw!O8</f>
        <v>0</v>
      </c>
      <c r="P7" s="449">
        <f>landbouw!P8</f>
        <v>0</v>
      </c>
      <c r="Q7" s="447">
        <f t="shared" si="0"/>
        <v>443.49535070348912</v>
      </c>
    </row>
    <row r="8" spans="1:17">
      <c r="A8" s="447" t="s">
        <v>618</v>
      </c>
      <c r="B8" s="448">
        <f>industrie!B18</f>
        <v>9591.6109509999987</v>
      </c>
      <c r="C8" s="448">
        <f>industrie!C18</f>
        <v>0</v>
      </c>
      <c r="D8" s="448">
        <f>industrie!D18</f>
        <v>1548.6873413439998</v>
      </c>
      <c r="E8" s="448">
        <f>industrie!E18</f>
        <v>626.83952098311966</v>
      </c>
      <c r="F8" s="448">
        <f>industrie!F18</f>
        <v>2222.9195702856023</v>
      </c>
      <c r="G8" s="448">
        <f>industrie!G18</f>
        <v>0</v>
      </c>
      <c r="H8" s="448">
        <f>industrie!H18</f>
        <v>0</v>
      </c>
      <c r="I8" s="448">
        <f>industrie!I18</f>
        <v>0</v>
      </c>
      <c r="J8" s="448">
        <f>industrie!J18</f>
        <v>69.186801868316678</v>
      </c>
      <c r="K8" s="448">
        <f>industrie!K18</f>
        <v>0</v>
      </c>
      <c r="L8" s="448">
        <f>industrie!L18</f>
        <v>0</v>
      </c>
      <c r="M8" s="448">
        <f>industrie!M18</f>
        <v>0</v>
      </c>
      <c r="N8" s="448">
        <f>industrie!N18</f>
        <v>429.2114766594292</v>
      </c>
      <c r="O8" s="448">
        <f>industrie!O18</f>
        <v>0</v>
      </c>
      <c r="P8" s="449">
        <f>industrie!P18</f>
        <v>0</v>
      </c>
      <c r="Q8" s="447">
        <f t="shared" si="0"/>
        <v>14488.455662140468</v>
      </c>
    </row>
    <row r="9" spans="1:17" s="453" customFormat="1">
      <c r="A9" s="451" t="s">
        <v>544</v>
      </c>
      <c r="B9" s="452">
        <f>transport!B14</f>
        <v>36.182399054770016</v>
      </c>
      <c r="C9" s="452">
        <f>transport!C14</f>
        <v>0</v>
      </c>
      <c r="D9" s="452">
        <f>transport!D14</f>
        <v>69.160179111472132</v>
      </c>
      <c r="E9" s="452">
        <f>transport!E14</f>
        <v>59.199882492454606</v>
      </c>
      <c r="F9" s="452">
        <f>transport!F14</f>
        <v>0</v>
      </c>
      <c r="G9" s="452">
        <f>transport!G14</f>
        <v>21944.747602520754</v>
      </c>
      <c r="H9" s="452">
        <f>transport!H14</f>
        <v>6119.9293986902485</v>
      </c>
      <c r="I9" s="452">
        <f>transport!I14</f>
        <v>0</v>
      </c>
      <c r="J9" s="452">
        <f>transport!J14</f>
        <v>0</v>
      </c>
      <c r="K9" s="452">
        <f>transport!K14</f>
        <v>0</v>
      </c>
      <c r="L9" s="452">
        <f>transport!L14</f>
        <v>0</v>
      </c>
      <c r="M9" s="452">
        <f>transport!M14</f>
        <v>1670.138514403694</v>
      </c>
      <c r="N9" s="452">
        <f>transport!N14</f>
        <v>0</v>
      </c>
      <c r="O9" s="452">
        <f>transport!O14</f>
        <v>0</v>
      </c>
      <c r="P9" s="452">
        <f>transport!P14</f>
        <v>0</v>
      </c>
      <c r="Q9" s="451">
        <f>SUM(B9:P9)</f>
        <v>29899.357976273393</v>
      </c>
    </row>
    <row r="10" spans="1:17">
      <c r="A10" s="447" t="s">
        <v>534</v>
      </c>
      <c r="B10" s="448">
        <f>transport!B54</f>
        <v>14.88007618525501</v>
      </c>
      <c r="C10" s="448">
        <f>transport!C54</f>
        <v>0</v>
      </c>
      <c r="D10" s="448">
        <f>transport!D54</f>
        <v>0</v>
      </c>
      <c r="E10" s="448">
        <f>transport!E54</f>
        <v>0</v>
      </c>
      <c r="F10" s="448">
        <f>transport!F54</f>
        <v>0</v>
      </c>
      <c r="G10" s="448">
        <f>transport!G54</f>
        <v>1078.0839309101796</v>
      </c>
      <c r="H10" s="448">
        <f>transport!H54</f>
        <v>0</v>
      </c>
      <c r="I10" s="448">
        <f>transport!I54</f>
        <v>0</v>
      </c>
      <c r="J10" s="448">
        <f>transport!J54</f>
        <v>0</v>
      </c>
      <c r="K10" s="448">
        <f>transport!K54</f>
        <v>0</v>
      </c>
      <c r="L10" s="448">
        <f>transport!L54</f>
        <v>0</v>
      </c>
      <c r="M10" s="448">
        <f>transport!M54</f>
        <v>60.979637667355071</v>
      </c>
      <c r="N10" s="448">
        <f>transport!N54</f>
        <v>0</v>
      </c>
      <c r="O10" s="448">
        <f>transport!O54</f>
        <v>0</v>
      </c>
      <c r="P10" s="449">
        <f>transport!P54</f>
        <v>0</v>
      </c>
      <c r="Q10" s="447">
        <f t="shared" si="0"/>
        <v>1153.9436447627897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627.76225999999997</v>
      </c>
      <c r="C14" s="455"/>
      <c r="D14" s="455">
        <f>'SEAP template'!E25</f>
        <v>2187.3795770000002</v>
      </c>
      <c r="E14" s="455"/>
      <c r="F14" s="455"/>
      <c r="G14" s="455"/>
      <c r="H14" s="455"/>
      <c r="I14" s="455"/>
      <c r="J14" s="455"/>
      <c r="K14" s="455"/>
      <c r="L14" s="455"/>
      <c r="M14" s="455"/>
      <c r="N14" s="455"/>
      <c r="O14" s="455"/>
      <c r="P14" s="456"/>
      <c r="Q14" s="447">
        <f t="shared" si="0"/>
        <v>2815.1418370000001</v>
      </c>
    </row>
    <row r="15" spans="1:17" s="459" customFormat="1">
      <c r="A15" s="457" t="s">
        <v>538</v>
      </c>
      <c r="B15" s="458">
        <f ca="1">SUM(B4:B14)</f>
        <v>46362.572131319779</v>
      </c>
      <c r="C15" s="458">
        <f t="shared" ref="C15:Q15" ca="1" si="1">SUM(C4:C14)</f>
        <v>0</v>
      </c>
      <c r="D15" s="458">
        <f t="shared" ca="1" si="1"/>
        <v>61612.837750049475</v>
      </c>
      <c r="E15" s="458">
        <f t="shared" si="1"/>
        <v>2937.0251381290655</v>
      </c>
      <c r="F15" s="458">
        <f t="shared" ca="1" si="1"/>
        <v>37412.523212360189</v>
      </c>
      <c r="G15" s="458">
        <f t="shared" si="1"/>
        <v>23022.831533430934</v>
      </c>
      <c r="H15" s="458">
        <f t="shared" si="1"/>
        <v>6119.9293986902485</v>
      </c>
      <c r="I15" s="458">
        <f t="shared" si="1"/>
        <v>0</v>
      </c>
      <c r="J15" s="458">
        <f t="shared" si="1"/>
        <v>221.63585214218742</v>
      </c>
      <c r="K15" s="458">
        <f t="shared" si="1"/>
        <v>0</v>
      </c>
      <c r="L15" s="458">
        <f t="shared" ca="1" si="1"/>
        <v>0</v>
      </c>
      <c r="M15" s="458">
        <f t="shared" si="1"/>
        <v>1731.1181520710491</v>
      </c>
      <c r="N15" s="458">
        <f t="shared" ca="1" si="1"/>
        <v>8911.5426440602223</v>
      </c>
      <c r="O15" s="458">
        <f t="shared" si="1"/>
        <v>243.90159141935206</v>
      </c>
      <c r="P15" s="458">
        <f t="shared" si="1"/>
        <v>221.21314546138547</v>
      </c>
      <c r="Q15" s="458">
        <f t="shared" ca="1" si="1"/>
        <v>188797.1305491339</v>
      </c>
    </row>
    <row r="17" spans="1:17">
      <c r="A17" s="460" t="s">
        <v>539</v>
      </c>
      <c r="B17" s="776">
        <f ca="1">huishoudens!B10</f>
        <v>0.2092498149645147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4678.8356770673072</v>
      </c>
      <c r="C22" s="448">
        <f t="shared" ref="C22:C32" ca="1" si="3">C4*$C$17</f>
        <v>0</v>
      </c>
      <c r="D22" s="448">
        <f t="shared" ref="D22:D32" si="4">D4*$D$17</f>
        <v>9002.9236088008802</v>
      </c>
      <c r="E22" s="448">
        <f t="shared" ref="E22:E32" si="5">E4*$E$17</f>
        <v>470.98762229205613</v>
      </c>
      <c r="F22" s="448">
        <f t="shared" ref="F22:F32" si="6">F4*$F$17</f>
        <v>8930.9126483322125</v>
      </c>
      <c r="G22" s="448">
        <f t="shared" ref="G22:G32" si="7">G4*$G$17</f>
        <v>0</v>
      </c>
      <c r="H22" s="448">
        <f t="shared" ref="H22:H32" si="8">H4*$H$17</f>
        <v>0</v>
      </c>
      <c r="I22" s="448">
        <f t="shared" ref="I22:I32" si="9">I4*$I$17</f>
        <v>0</v>
      </c>
      <c r="J22" s="448">
        <f t="shared" ref="J22:J32" si="10">J4*$J$17</f>
        <v>47.304214262333531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23130.963770754792</v>
      </c>
    </row>
    <row r="23" spans="1:17">
      <c r="A23" s="447" t="s">
        <v>155</v>
      </c>
      <c r="B23" s="448">
        <f t="shared" ca="1" si="2"/>
        <v>2740.0311726994628</v>
      </c>
      <c r="C23" s="448">
        <f t="shared" ca="1" si="3"/>
        <v>0</v>
      </c>
      <c r="D23" s="448">
        <f t="shared" ca="1" si="4"/>
        <v>2651.3445120015922</v>
      </c>
      <c r="E23" s="448">
        <f t="shared" si="5"/>
        <v>39.502769718902471</v>
      </c>
      <c r="F23" s="448">
        <f t="shared" ca="1" si="6"/>
        <v>400.33080020928099</v>
      </c>
      <c r="G23" s="448">
        <f t="shared" si="7"/>
        <v>0</v>
      </c>
      <c r="H23" s="448">
        <f t="shared" si="8"/>
        <v>0</v>
      </c>
      <c r="I23" s="448">
        <f t="shared" si="9"/>
        <v>0</v>
      </c>
      <c r="J23" s="448">
        <f t="shared" si="10"/>
        <v>8.4823777206334619E-3</v>
      </c>
      <c r="K23" s="448">
        <f t="shared" si="11"/>
        <v>0</v>
      </c>
      <c r="L23" s="448">
        <f t="shared" ca="1" si="12"/>
        <v>0</v>
      </c>
      <c r="M23" s="448">
        <f t="shared" si="13"/>
        <v>0</v>
      </c>
      <c r="N23" s="448">
        <f t="shared" ca="1" si="14"/>
        <v>0</v>
      </c>
      <c r="O23" s="448">
        <f t="shared" si="15"/>
        <v>0</v>
      </c>
      <c r="P23" s="449">
        <f t="shared" si="16"/>
        <v>0</v>
      </c>
      <c r="Q23" s="447">
        <f t="shared" ref="Q23:Q31" ca="1" si="17">SUM(B23:P23)</f>
        <v>5831.2177370069594</v>
      </c>
    </row>
    <row r="24" spans="1:17">
      <c r="A24" s="447" t="s">
        <v>193</v>
      </c>
      <c r="B24" s="448">
        <f t="shared" ca="1" si="2"/>
        <v>119.12926765633766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119.12926765633766</v>
      </c>
    </row>
    <row r="25" spans="1:17">
      <c r="A25" s="447" t="s">
        <v>111</v>
      </c>
      <c r="B25" s="448">
        <f t="shared" ca="1" si="2"/>
        <v>14.27675538384673</v>
      </c>
      <c r="C25" s="448">
        <f t="shared" ca="1" si="3"/>
        <v>0</v>
      </c>
      <c r="D25" s="448">
        <f t="shared" si="4"/>
        <v>22.869231021516004</v>
      </c>
      <c r="E25" s="448">
        <f t="shared" si="5"/>
        <v>0.48336975538397042</v>
      </c>
      <c r="F25" s="448">
        <f t="shared" si="6"/>
        <v>64.380723892422267</v>
      </c>
      <c r="G25" s="448">
        <f t="shared" si="7"/>
        <v>0</v>
      </c>
      <c r="H25" s="448">
        <f t="shared" si="8"/>
        <v>0</v>
      </c>
      <c r="I25" s="448">
        <f t="shared" si="9"/>
        <v>0</v>
      </c>
      <c r="J25" s="448">
        <f t="shared" si="10"/>
        <v>6.6542671568960827</v>
      </c>
      <c r="K25" s="448">
        <f t="shared" si="11"/>
        <v>0</v>
      </c>
      <c r="L25" s="448">
        <f t="shared" si="12"/>
        <v>0</v>
      </c>
      <c r="M25" s="448">
        <f t="shared" si="13"/>
        <v>0</v>
      </c>
      <c r="N25" s="448">
        <f t="shared" si="14"/>
        <v>0</v>
      </c>
      <c r="O25" s="448">
        <f t="shared" si="15"/>
        <v>0</v>
      </c>
      <c r="P25" s="449">
        <f t="shared" si="16"/>
        <v>0</v>
      </c>
      <c r="Q25" s="447">
        <f t="shared" ca="1" si="17"/>
        <v>108.66434721006505</v>
      </c>
    </row>
    <row r="26" spans="1:17">
      <c r="A26" s="447" t="s">
        <v>618</v>
      </c>
      <c r="B26" s="448">
        <f t="shared" ca="1" si="2"/>
        <v>2007.0428167083626</v>
      </c>
      <c r="C26" s="448">
        <f t="shared" ca="1" si="3"/>
        <v>0</v>
      </c>
      <c r="D26" s="448">
        <f t="shared" si="4"/>
        <v>312.83484295148799</v>
      </c>
      <c r="E26" s="448">
        <f t="shared" si="5"/>
        <v>142.29257126316816</v>
      </c>
      <c r="F26" s="448">
        <f t="shared" si="6"/>
        <v>593.51952526625587</v>
      </c>
      <c r="G26" s="448">
        <f t="shared" si="7"/>
        <v>0</v>
      </c>
      <c r="H26" s="448">
        <f t="shared" si="8"/>
        <v>0</v>
      </c>
      <c r="I26" s="448">
        <f t="shared" si="9"/>
        <v>0</v>
      </c>
      <c r="J26" s="448">
        <f t="shared" si="10"/>
        <v>24.492127861384102</v>
      </c>
      <c r="K26" s="448">
        <f t="shared" si="11"/>
        <v>0</v>
      </c>
      <c r="L26" s="448">
        <f t="shared" si="12"/>
        <v>0</v>
      </c>
      <c r="M26" s="448">
        <f t="shared" si="13"/>
        <v>0</v>
      </c>
      <c r="N26" s="448">
        <f t="shared" si="14"/>
        <v>0</v>
      </c>
      <c r="O26" s="448">
        <f t="shared" si="15"/>
        <v>0</v>
      </c>
      <c r="P26" s="449">
        <f t="shared" si="16"/>
        <v>0</v>
      </c>
      <c r="Q26" s="447">
        <f t="shared" ca="1" si="17"/>
        <v>3080.1818840506589</v>
      </c>
    </row>
    <row r="27" spans="1:17" s="453" customFormat="1">
      <c r="A27" s="451" t="s">
        <v>544</v>
      </c>
      <c r="B27" s="770">
        <f t="shared" ca="1" si="2"/>
        <v>7.5711603071828577</v>
      </c>
      <c r="C27" s="452">
        <f t="shared" ca="1" si="3"/>
        <v>0</v>
      </c>
      <c r="D27" s="452">
        <f t="shared" si="4"/>
        <v>13.970356180517372</v>
      </c>
      <c r="E27" s="452">
        <f t="shared" si="5"/>
        <v>13.438373325787197</v>
      </c>
      <c r="F27" s="452">
        <f t="shared" si="6"/>
        <v>0</v>
      </c>
      <c r="G27" s="452">
        <f t="shared" si="7"/>
        <v>5859.2476098730422</v>
      </c>
      <c r="H27" s="452">
        <f t="shared" si="8"/>
        <v>1523.862420273872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7418.0899199604019</v>
      </c>
    </row>
    <row r="28" spans="1:17" ht="16.5" customHeight="1">
      <c r="A28" s="447" t="s">
        <v>534</v>
      </c>
      <c r="B28" s="448">
        <f t="shared" ca="1" si="2"/>
        <v>3.1136531884224925</v>
      </c>
      <c r="C28" s="448">
        <f t="shared" ca="1" si="3"/>
        <v>0</v>
      </c>
      <c r="D28" s="448">
        <f t="shared" si="4"/>
        <v>0</v>
      </c>
      <c r="E28" s="448">
        <f t="shared" si="5"/>
        <v>0</v>
      </c>
      <c r="F28" s="448">
        <f t="shared" si="6"/>
        <v>0</v>
      </c>
      <c r="G28" s="448">
        <f t="shared" si="7"/>
        <v>287.84840955301797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290.96206274144049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131.35913674670556</v>
      </c>
      <c r="C32" s="448">
        <f t="shared" ca="1" si="3"/>
        <v>0</v>
      </c>
      <c r="D32" s="448">
        <f t="shared" si="4"/>
        <v>441.85067455400008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573.20981130070561</v>
      </c>
    </row>
    <row r="33" spans="1:17" s="459" customFormat="1">
      <c r="A33" s="457" t="s">
        <v>538</v>
      </c>
      <c r="B33" s="458">
        <f ca="1">SUM(B22:B32)</f>
        <v>9701.3596397576275</v>
      </c>
      <c r="C33" s="458">
        <f t="shared" ref="C33:Q33" ca="1" si="19">SUM(C22:C32)</f>
        <v>0</v>
      </c>
      <c r="D33" s="458">
        <f t="shared" ca="1" si="19"/>
        <v>12445.793225509995</v>
      </c>
      <c r="E33" s="458">
        <f t="shared" si="19"/>
        <v>666.70470635529796</v>
      </c>
      <c r="F33" s="458">
        <f t="shared" ca="1" si="19"/>
        <v>9989.1436977001722</v>
      </c>
      <c r="G33" s="458">
        <f t="shared" si="19"/>
        <v>6147.0960194260606</v>
      </c>
      <c r="H33" s="458">
        <f t="shared" si="19"/>
        <v>1523.862420273872</v>
      </c>
      <c r="I33" s="458">
        <f t="shared" si="19"/>
        <v>0</v>
      </c>
      <c r="J33" s="458">
        <f t="shared" si="19"/>
        <v>78.459091658334344</v>
      </c>
      <c r="K33" s="458">
        <f t="shared" si="19"/>
        <v>0</v>
      </c>
      <c r="L33" s="458">
        <f t="shared" ca="1" si="19"/>
        <v>0</v>
      </c>
      <c r="M33" s="458">
        <f t="shared" si="19"/>
        <v>0</v>
      </c>
      <c r="N33" s="458">
        <f t="shared" ca="1" si="19"/>
        <v>0</v>
      </c>
      <c r="O33" s="458">
        <f t="shared" si="19"/>
        <v>0</v>
      </c>
      <c r="P33" s="458">
        <f t="shared" si="19"/>
        <v>0</v>
      </c>
      <c r="Q33" s="458">
        <f t="shared" ca="1" si="19"/>
        <v>40552.418800681364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2465.0172002897825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2465.0172002897825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0.2092498149645147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0.2092498149645147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0.2092498149645147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0.2092498149645147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5361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231.43</v>
      </c>
      <c r="C14" s="326"/>
      <c r="D14" s="326"/>
      <c r="E14" s="326"/>
      <c r="F14" s="326"/>
    </row>
    <row r="15" spans="1:6">
      <c r="A15" s="1298" t="s">
        <v>183</v>
      </c>
      <c r="B15" s="1299">
        <v>1</v>
      </c>
      <c r="C15" s="326"/>
      <c r="D15" s="326"/>
      <c r="E15" s="326"/>
      <c r="F15" s="326"/>
    </row>
    <row r="16" spans="1:6">
      <c r="A16" s="1298" t="s">
        <v>6</v>
      </c>
      <c r="B16" s="1299">
        <v>31</v>
      </c>
      <c r="C16" s="326"/>
      <c r="D16" s="326"/>
      <c r="E16" s="326"/>
      <c r="F16" s="326"/>
    </row>
    <row r="17" spans="1:6">
      <c r="A17" s="1298" t="s">
        <v>7</v>
      </c>
      <c r="B17" s="1299">
        <v>49</v>
      </c>
      <c r="C17" s="326"/>
      <c r="D17" s="326"/>
      <c r="E17" s="326"/>
      <c r="F17" s="326"/>
    </row>
    <row r="18" spans="1:6">
      <c r="A18" s="1298" t="s">
        <v>8</v>
      </c>
      <c r="B18" s="1299">
        <v>49</v>
      </c>
      <c r="C18" s="326"/>
      <c r="D18" s="326"/>
      <c r="E18" s="326"/>
      <c r="F18" s="326"/>
    </row>
    <row r="19" spans="1:6">
      <c r="A19" s="1298" t="s">
        <v>9</v>
      </c>
      <c r="B19" s="1299">
        <v>43</v>
      </c>
      <c r="C19" s="326"/>
      <c r="D19" s="326"/>
      <c r="E19" s="326"/>
      <c r="F19" s="326"/>
    </row>
    <row r="20" spans="1:6">
      <c r="A20" s="1298" t="s">
        <v>10</v>
      </c>
      <c r="B20" s="1299">
        <v>73</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34</v>
      </c>
      <c r="C26" s="326"/>
      <c r="D26" s="326"/>
      <c r="E26" s="326"/>
      <c r="F26" s="326"/>
    </row>
    <row r="27" spans="1:6">
      <c r="A27" s="1298" t="s">
        <v>17</v>
      </c>
      <c r="B27" s="1299">
        <v>0</v>
      </c>
      <c r="C27" s="326"/>
      <c r="D27" s="326"/>
      <c r="E27" s="326"/>
      <c r="F27" s="326"/>
    </row>
    <row r="28" spans="1:6" s="43" customFormat="1">
      <c r="A28" s="1300" t="s">
        <v>18</v>
      </c>
      <c r="B28" s="1301">
        <v>10</v>
      </c>
      <c r="C28" s="332"/>
      <c r="D28" s="332"/>
      <c r="E28" s="332"/>
      <c r="F28" s="332"/>
    </row>
    <row r="29" spans="1:6">
      <c r="A29" s="1300" t="s">
        <v>695</v>
      </c>
      <c r="B29" s="1301">
        <v>4</v>
      </c>
      <c r="C29" s="332"/>
      <c r="D29" s="332"/>
      <c r="E29" s="332"/>
      <c r="F29" s="332"/>
    </row>
    <row r="30" spans="1:6">
      <c r="A30" s="1293" t="s">
        <v>696</v>
      </c>
      <c r="B30" s="1302">
        <v>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5</v>
      </c>
      <c r="F38" s="1299">
        <v>31434</v>
      </c>
    </row>
    <row r="39" spans="1:6">
      <c r="A39" s="1298" t="s">
        <v>29</v>
      </c>
      <c r="B39" s="1298" t="s">
        <v>30</v>
      </c>
      <c r="C39" s="1299">
        <v>3089</v>
      </c>
      <c r="D39" s="1299">
        <v>49411229.219999999</v>
      </c>
      <c r="E39" s="1299">
        <v>5334</v>
      </c>
      <c r="F39" s="1299">
        <v>20301716.460000001</v>
      </c>
    </row>
    <row r="40" spans="1:6">
      <c r="A40" s="1298" t="s">
        <v>29</v>
      </c>
      <c r="B40" s="1298" t="s">
        <v>28</v>
      </c>
      <c r="C40" s="1299">
        <v>0</v>
      </c>
      <c r="D40" s="1299">
        <v>0</v>
      </c>
      <c r="E40" s="1299">
        <v>0</v>
      </c>
      <c r="F40" s="1299">
        <v>0</v>
      </c>
    </row>
    <row r="41" spans="1:6">
      <c r="A41" s="1298" t="s">
        <v>31</v>
      </c>
      <c r="B41" s="1298" t="s">
        <v>32</v>
      </c>
      <c r="C41" s="1299">
        <v>28</v>
      </c>
      <c r="D41" s="1299">
        <v>1304348.0789999999</v>
      </c>
      <c r="E41" s="1299">
        <v>70</v>
      </c>
      <c r="F41" s="1299">
        <v>815868.84900000005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52763.523999999998</v>
      </c>
    </row>
    <row r="45" spans="1:6">
      <c r="A45" s="1298" t="s">
        <v>31</v>
      </c>
      <c r="B45" s="1298" t="s">
        <v>36</v>
      </c>
      <c r="C45" s="1299">
        <v>3</v>
      </c>
      <c r="D45" s="1299">
        <v>80961.184999999998</v>
      </c>
      <c r="E45" s="1299">
        <v>4</v>
      </c>
      <c r="F45" s="1299">
        <v>104553.822</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18</v>
      </c>
      <c r="D48" s="1299">
        <v>270527.22200000001</v>
      </c>
      <c r="E48" s="1299">
        <v>26</v>
      </c>
      <c r="F48" s="1299">
        <v>8364628.9639999997</v>
      </c>
    </row>
    <row r="49" spans="1:6">
      <c r="A49" s="1298" t="s">
        <v>31</v>
      </c>
      <c r="B49" s="1298" t="s">
        <v>39</v>
      </c>
      <c r="C49" s="1299">
        <v>0</v>
      </c>
      <c r="D49" s="1299">
        <v>0</v>
      </c>
      <c r="E49" s="1299">
        <v>0</v>
      </c>
      <c r="F49" s="1299">
        <v>0</v>
      </c>
    </row>
    <row r="50" spans="1:6">
      <c r="A50" s="1298" t="s">
        <v>31</v>
      </c>
      <c r="B50" s="1298" t="s">
        <v>40</v>
      </c>
      <c r="C50" s="1299">
        <v>5</v>
      </c>
      <c r="D50" s="1299">
        <v>61111.786</v>
      </c>
      <c r="E50" s="1299">
        <v>12</v>
      </c>
      <c r="F50" s="1299">
        <v>253795.79199999999</v>
      </c>
    </row>
    <row r="51" spans="1:6">
      <c r="A51" s="1298" t="s">
        <v>41</v>
      </c>
      <c r="B51" s="1298" t="s">
        <v>42</v>
      </c>
      <c r="C51" s="1299">
        <v>0</v>
      </c>
      <c r="D51" s="1299">
        <v>0</v>
      </c>
      <c r="E51" s="1299">
        <v>3</v>
      </c>
      <c r="F51" s="1299">
        <v>30140.720000000001</v>
      </c>
    </row>
    <row r="52" spans="1:6">
      <c r="A52" s="1298" t="s">
        <v>41</v>
      </c>
      <c r="B52" s="1298" t="s">
        <v>28</v>
      </c>
      <c r="C52" s="1299">
        <v>2</v>
      </c>
      <c r="D52" s="1299">
        <v>125514.429</v>
      </c>
      <c r="E52" s="1299">
        <v>8</v>
      </c>
      <c r="F52" s="1299">
        <v>38087.561999999998</v>
      </c>
    </row>
    <row r="53" spans="1:6">
      <c r="A53" s="1298" t="s">
        <v>43</v>
      </c>
      <c r="B53" s="1298" t="s">
        <v>44</v>
      </c>
      <c r="C53" s="1299">
        <v>78</v>
      </c>
      <c r="D53" s="1299">
        <v>2187379.577</v>
      </c>
      <c r="E53" s="1299">
        <v>181</v>
      </c>
      <c r="F53" s="1299">
        <v>627762.26</v>
      </c>
    </row>
    <row r="54" spans="1:6">
      <c r="A54" s="1298" t="s">
        <v>45</v>
      </c>
      <c r="B54" s="1298" t="s">
        <v>46</v>
      </c>
      <c r="C54" s="1299">
        <v>0</v>
      </c>
      <c r="D54" s="1299">
        <v>0</v>
      </c>
      <c r="E54" s="1299">
        <v>1</v>
      </c>
      <c r="F54" s="1299">
        <v>569316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287954.00099999999</v>
      </c>
      <c r="E57" s="1299">
        <v>40</v>
      </c>
      <c r="F57" s="1299">
        <v>677445.29599999997</v>
      </c>
    </row>
    <row r="58" spans="1:6">
      <c r="A58" s="1298" t="s">
        <v>48</v>
      </c>
      <c r="B58" s="1298" t="s">
        <v>50</v>
      </c>
      <c r="C58" s="1299">
        <v>21</v>
      </c>
      <c r="D58" s="1299">
        <v>1001546.638</v>
      </c>
      <c r="E58" s="1299">
        <v>34</v>
      </c>
      <c r="F58" s="1299">
        <v>494972.321</v>
      </c>
    </row>
    <row r="59" spans="1:6">
      <c r="A59" s="1298" t="s">
        <v>48</v>
      </c>
      <c r="B59" s="1298" t="s">
        <v>51</v>
      </c>
      <c r="C59" s="1299">
        <v>55</v>
      </c>
      <c r="D59" s="1299">
        <v>1917355.138</v>
      </c>
      <c r="E59" s="1299">
        <v>109</v>
      </c>
      <c r="F59" s="1299">
        <v>2021143.477</v>
      </c>
    </row>
    <row r="60" spans="1:6">
      <c r="A60" s="1298" t="s">
        <v>48</v>
      </c>
      <c r="B60" s="1298" t="s">
        <v>52</v>
      </c>
      <c r="C60" s="1299">
        <v>32</v>
      </c>
      <c r="D60" s="1299">
        <v>872225.03599999996</v>
      </c>
      <c r="E60" s="1299">
        <v>53</v>
      </c>
      <c r="F60" s="1299">
        <v>704268.16</v>
      </c>
    </row>
    <row r="61" spans="1:6">
      <c r="A61" s="1298" t="s">
        <v>48</v>
      </c>
      <c r="B61" s="1298" t="s">
        <v>53</v>
      </c>
      <c r="C61" s="1299">
        <v>47</v>
      </c>
      <c r="D61" s="1299">
        <v>3306725.4169999999</v>
      </c>
      <c r="E61" s="1299">
        <v>154</v>
      </c>
      <c r="F61" s="1299">
        <v>2429279.895</v>
      </c>
    </row>
    <row r="62" spans="1:6">
      <c r="A62" s="1298" t="s">
        <v>48</v>
      </c>
      <c r="B62" s="1298" t="s">
        <v>54</v>
      </c>
      <c r="C62" s="1299">
        <v>3</v>
      </c>
      <c r="D62" s="1299">
        <v>458281.28700000001</v>
      </c>
      <c r="E62" s="1299">
        <v>4</v>
      </c>
      <c r="F62" s="1299">
        <v>265210.87900000002</v>
      </c>
    </row>
    <row r="63" spans="1:6">
      <c r="A63" s="1298" t="s">
        <v>48</v>
      </c>
      <c r="B63" s="1298" t="s">
        <v>28</v>
      </c>
      <c r="C63" s="1299">
        <v>85</v>
      </c>
      <c r="D63" s="1299">
        <v>6707428.9809999997</v>
      </c>
      <c r="E63" s="1299">
        <v>105</v>
      </c>
      <c r="F63" s="1299">
        <v>6502225.2319999998</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16138.633</v>
      </c>
    </row>
    <row r="66" spans="1:6">
      <c r="A66" s="1298" t="s">
        <v>55</v>
      </c>
      <c r="B66" s="1298" t="s">
        <v>57</v>
      </c>
      <c r="C66" s="1299">
        <v>0</v>
      </c>
      <c r="D66" s="1299">
        <v>0</v>
      </c>
      <c r="E66" s="1299">
        <v>9</v>
      </c>
      <c r="F66" s="1299">
        <v>172381</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55051.419000000002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20436388</v>
      </c>
      <c r="E73" s="446"/>
      <c r="F73" s="326"/>
    </row>
    <row r="74" spans="1:6">
      <c r="A74" s="1298" t="s">
        <v>63</v>
      </c>
      <c r="B74" s="1298" t="s">
        <v>639</v>
      </c>
      <c r="C74" s="1312" t="s">
        <v>641</v>
      </c>
      <c r="D74" s="1313">
        <v>1131904</v>
      </c>
      <c r="E74" s="446"/>
      <c r="F74" s="326"/>
    </row>
    <row r="75" spans="1:6">
      <c r="A75" s="1298" t="s">
        <v>64</v>
      </c>
      <c r="B75" s="1298" t="s">
        <v>638</v>
      </c>
      <c r="C75" s="1312" t="s">
        <v>642</v>
      </c>
      <c r="D75" s="1313">
        <v>14721591</v>
      </c>
      <c r="E75" s="446"/>
      <c r="F75" s="326"/>
    </row>
    <row r="76" spans="1:6">
      <c r="A76" s="1298" t="s">
        <v>64</v>
      </c>
      <c r="B76" s="1298" t="s">
        <v>639</v>
      </c>
      <c r="C76" s="1312" t="s">
        <v>643</v>
      </c>
      <c r="D76" s="1313">
        <v>362364</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316204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2058.3304430797516</v>
      </c>
      <c r="C91" s="326"/>
      <c r="D91" s="326"/>
      <c r="E91" s="326"/>
      <c r="F91" s="326"/>
    </row>
    <row r="92" spans="1:6">
      <c r="A92" s="1293" t="s">
        <v>68</v>
      </c>
      <c r="B92" s="1294">
        <v>406.68675721003081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1228</v>
      </c>
      <c r="C97" s="326"/>
      <c r="D97" s="326"/>
      <c r="E97" s="326"/>
      <c r="F97" s="326"/>
    </row>
    <row r="98" spans="1:6">
      <c r="A98" s="1298" t="s">
        <v>71</v>
      </c>
      <c r="B98" s="1299">
        <v>3</v>
      </c>
      <c r="C98" s="326"/>
      <c r="D98" s="326"/>
      <c r="E98" s="326"/>
      <c r="F98" s="326"/>
    </row>
    <row r="99" spans="1:6">
      <c r="A99" s="1298" t="s">
        <v>72</v>
      </c>
      <c r="B99" s="1299">
        <v>90</v>
      </c>
      <c r="C99" s="326"/>
      <c r="D99" s="326"/>
      <c r="E99" s="326"/>
      <c r="F99" s="326"/>
    </row>
    <row r="100" spans="1:6">
      <c r="A100" s="1298" t="s">
        <v>73</v>
      </c>
      <c r="B100" s="1299">
        <v>508</v>
      </c>
      <c r="C100" s="326"/>
      <c r="D100" s="326"/>
      <c r="E100" s="326"/>
      <c r="F100" s="326"/>
    </row>
    <row r="101" spans="1:6">
      <c r="A101" s="1298" t="s">
        <v>74</v>
      </c>
      <c r="B101" s="1299">
        <v>26</v>
      </c>
      <c r="C101" s="326"/>
      <c r="D101" s="326"/>
      <c r="E101" s="326"/>
      <c r="F101" s="326"/>
    </row>
    <row r="102" spans="1:6">
      <c r="A102" s="1298" t="s">
        <v>75</v>
      </c>
      <c r="B102" s="1299">
        <v>50</v>
      </c>
      <c r="C102" s="326"/>
      <c r="D102" s="326"/>
      <c r="E102" s="326"/>
      <c r="F102" s="326"/>
    </row>
    <row r="103" spans="1:6">
      <c r="A103" s="1298" t="s">
        <v>76</v>
      </c>
      <c r="B103" s="1299">
        <v>209</v>
      </c>
      <c r="C103" s="326"/>
      <c r="D103" s="326"/>
      <c r="E103" s="326"/>
      <c r="F103" s="326"/>
    </row>
    <row r="104" spans="1:6">
      <c r="A104" s="1298" t="s">
        <v>77</v>
      </c>
      <c r="B104" s="1299">
        <v>2569</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10</v>
      </c>
      <c r="C123" s="1299">
        <v>55</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63</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10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46362.572131319779</v>
      </c>
      <c r="C3" s="43" t="s">
        <v>169</v>
      </c>
      <c r="D3" s="43"/>
      <c r="E3" s="154"/>
      <c r="F3" s="43"/>
      <c r="G3" s="43"/>
      <c r="H3" s="43"/>
      <c r="I3" s="43"/>
      <c r="J3" s="43"/>
      <c r="K3" s="96"/>
    </row>
    <row r="4" spans="1:11">
      <c r="A4" s="354" t="s">
        <v>170</v>
      </c>
      <c r="B4" s="49">
        <f>IF(ISERROR('SEAP template'!B78+'SEAP template'!C78),0,'SEAP template'!B78+'SEAP template'!C78)</f>
        <v>2465.0172002897825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0.2092498149645147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569.31600000000003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569.31600000000003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0.2092498149645147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119.12926765633766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20301.71646</v>
      </c>
      <c r="C5" s="17">
        <f>IF(ISERROR('Eigen informatie GS &amp; warmtenet'!B59),0,'Eigen informatie GS &amp; warmtenet'!B59)</f>
        <v>0</v>
      </c>
      <c r="D5" s="30">
        <f>(SUM(HH_hh_gas_kWh,HH_rest_gas_kWh)/1000)*0.902</f>
        <v>44568.92875644</v>
      </c>
      <c r="E5" s="17">
        <f>B32*B41</f>
        <v>2074.8353404936393</v>
      </c>
      <c r="F5" s="17">
        <f>B36*B45</f>
        <v>33449.111042442739</v>
      </c>
      <c r="G5" s="18"/>
      <c r="H5" s="17"/>
      <c r="I5" s="17"/>
      <c r="J5" s="17">
        <f>B35*B44+C35*C44</f>
        <v>133.62772390489698</v>
      </c>
      <c r="K5" s="17"/>
      <c r="L5" s="17"/>
      <c r="M5" s="17"/>
      <c r="N5" s="17">
        <f>B34*B43+C34*C43</f>
        <v>7535.1736867609525</v>
      </c>
      <c r="O5" s="17">
        <f>B52*B53*B54</f>
        <v>234.10706988766975</v>
      </c>
      <c r="P5" s="17">
        <f>B60*B61*B62/1000-B60*B61*B62/1000/B63</f>
        <v>221.21314546138547</v>
      </c>
    </row>
    <row r="6" spans="1:16">
      <c r="A6" s="16" t="s">
        <v>604</v>
      </c>
      <c r="B6" s="778">
        <f>kWh_PV_kleiner_dan_10kW</f>
        <v>2058.3304430797516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22360.04690307975</v>
      </c>
      <c r="C8" s="21">
        <f>C5</f>
        <v>0</v>
      </c>
      <c r="D8" s="21">
        <f>D5</f>
        <v>44568.92875644</v>
      </c>
      <c r="E8" s="21">
        <f>E5</f>
        <v>2074.8353404936393</v>
      </c>
      <c r="F8" s="21">
        <f>F5</f>
        <v>33449.111042442739</v>
      </c>
      <c r="G8" s="21"/>
      <c r="H8" s="21"/>
      <c r="I8" s="21"/>
      <c r="J8" s="21">
        <f>J5</f>
        <v>133.62772390489698</v>
      </c>
      <c r="K8" s="21"/>
      <c r="L8" s="21">
        <f>L5</f>
        <v>0</v>
      </c>
      <c r="M8" s="21">
        <f>M5</f>
        <v>0</v>
      </c>
      <c r="N8" s="21">
        <f>N5</f>
        <v>7535.1736867609525</v>
      </c>
      <c r="O8" s="21">
        <f>O5</f>
        <v>234.10706988766975</v>
      </c>
      <c r="P8" s="21">
        <f>P5</f>
        <v>221.21314546138547</v>
      </c>
    </row>
    <row r="9" spans="1:16">
      <c r="B9" s="19"/>
      <c r="C9" s="19"/>
      <c r="D9" s="256"/>
      <c r="E9" s="19"/>
      <c r="F9" s="19"/>
      <c r="G9" s="19"/>
      <c r="H9" s="19"/>
      <c r="I9" s="19"/>
      <c r="J9" s="19"/>
      <c r="K9" s="19"/>
      <c r="L9" s="19"/>
      <c r="M9" s="19"/>
      <c r="N9" s="19"/>
      <c r="O9" s="19"/>
      <c r="P9" s="19"/>
    </row>
    <row r="10" spans="1:16">
      <c r="A10" s="24" t="s">
        <v>213</v>
      </c>
      <c r="B10" s="25">
        <f ca="1">'EF ele_warmte'!B12</f>
        <v>0.2092498149645147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4678.8356770673072</v>
      </c>
      <c r="C12" s="23">
        <f ca="1">C10*C8</f>
        <v>0</v>
      </c>
      <c r="D12" s="23">
        <f>D8*D10</f>
        <v>9002.9236088008802</v>
      </c>
      <c r="E12" s="23">
        <f>E10*E8</f>
        <v>470.98762229205613</v>
      </c>
      <c r="F12" s="23">
        <f>F10*F8</f>
        <v>8930.9126483322125</v>
      </c>
      <c r="G12" s="23"/>
      <c r="H12" s="23"/>
      <c r="I12" s="23"/>
      <c r="J12" s="23">
        <f>J10*J8</f>
        <v>47.304214262333531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5361</v>
      </c>
      <c r="C26" s="36"/>
      <c r="D26" s="226"/>
    </row>
    <row r="27" spans="1:7" s="15" customFormat="1">
      <c r="A27" s="228" t="s">
        <v>806</v>
      </c>
      <c r="B27" s="37">
        <f>SUM(HH_hh_gas_aantal,HH_rest_gas_aantal)</f>
        <v>3089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2934.55</v>
      </c>
      <c r="C31" s="166" t="s">
        <v>110</v>
      </c>
      <c r="D31" s="231"/>
      <c r="G31" s="15"/>
    </row>
    <row r="32" spans="1:7">
      <c r="A32" s="169" t="s">
        <v>72</v>
      </c>
      <c r="B32" s="166">
        <f>IF((B21*($B$26-($B$27-0.05*$B$27)-$B$60))&lt;0,0,B21*($B$26-($B$27-0.05*$B$27)-$B$60))</f>
        <v>38.186996698325217</v>
      </c>
      <c r="C32" s="166" t="s">
        <v>110</v>
      </c>
      <c r="D32" s="231"/>
      <c r="G32" s="15"/>
    </row>
    <row r="33" spans="1:7">
      <c r="A33" s="169" t="s">
        <v>73</v>
      </c>
      <c r="B33" s="166">
        <f>IF((B22*($B$26-($B$27-0.05*$B$27)-$B$60))&lt;0,0,B22*($B$26-($B$27-0.05*$B$27)-$B$60))</f>
        <v>620.08119620373213</v>
      </c>
      <c r="C33" s="166" t="s">
        <v>110</v>
      </c>
      <c r="D33" s="231"/>
      <c r="G33" s="15"/>
    </row>
    <row r="34" spans="1:7">
      <c r="A34" s="169" t="s">
        <v>74</v>
      </c>
      <c r="B34" s="166">
        <f>IF((B24*($B$26-($B$27-0.05*$B$27)-$B$60))&lt;0,0,B24*($B$26-($B$27-0.05*$B$27)-$B$60))</f>
        <v>118.87786352660019</v>
      </c>
      <c r="C34" s="166">
        <f>B26*C24</f>
        <v>1098.5007433028834</v>
      </c>
      <c r="D34" s="231"/>
      <c r="G34" s="15"/>
    </row>
    <row r="35" spans="1:7">
      <c r="A35" s="169" t="s">
        <v>76</v>
      </c>
      <c r="B35" s="166">
        <f>IF((B19*($B$26-($B$27-0.05*$B$27)-$B$60))&lt;0,0,B19*($B$26-($B$27-0.05*$B$27)-$B$60))</f>
        <v>16.599796424469943</v>
      </c>
      <c r="C35" s="166">
        <f>B35/2</f>
        <v>8.2998982122349716</v>
      </c>
      <c r="D35" s="232"/>
      <c r="G35" s="15"/>
    </row>
    <row r="36" spans="1:7">
      <c r="A36" s="169" t="s">
        <v>77</v>
      </c>
      <c r="B36" s="166">
        <f>IF((B18*($B$26-($B$27-0.05*$B$27)-$B$60))&lt;0,0,B18*($B$26-($B$27-0.05*$B$27)-$B$60))</f>
        <v>1611.7041471468719</v>
      </c>
      <c r="C36" s="166" t="s">
        <v>110</v>
      </c>
      <c r="D36" s="232"/>
      <c r="G36" s="15"/>
    </row>
    <row r="37" spans="1:7">
      <c r="A37" s="169" t="s">
        <v>78</v>
      </c>
      <c r="B37" s="166">
        <f>B60</f>
        <v>21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13094.545259999999</v>
      </c>
      <c r="C5" s="17">
        <f>IF(ISERROR('Eigen informatie GS &amp; warmtenet'!B60),0,'Eigen informatie GS &amp; warmtenet'!B60)</f>
        <v>0</v>
      </c>
      <c r="D5" s="30">
        <f>SUM(D6:D12)</f>
        <v>13125.467881196</v>
      </c>
      <c r="E5" s="17">
        <f>SUM(E6:E12)</f>
        <v>174.02101197754391</v>
      </c>
      <c r="F5" s="17">
        <f>SUM(F6:F12)</f>
        <v>1499.3662929186553</v>
      </c>
      <c r="G5" s="18"/>
      <c r="H5" s="17"/>
      <c r="I5" s="17"/>
      <c r="J5" s="17">
        <f>SUM(J6:J12)</f>
        <v>2.3961518984840287E-2</v>
      </c>
      <c r="K5" s="17"/>
      <c r="L5" s="17"/>
      <c r="M5" s="17"/>
      <c r="N5" s="17">
        <f>SUM(N6:N12)</f>
        <v>947.15748063984029</v>
      </c>
      <c r="O5" s="17">
        <f>B38*B39*B40</f>
        <v>9.7945215316823084</v>
      </c>
      <c r="P5" s="17">
        <f>B46*B47*B48/1000-B46*B47*B48/1000/B49</f>
        <v>0</v>
      </c>
      <c r="R5" s="32"/>
    </row>
    <row r="6" spans="1:18">
      <c r="A6" s="32" t="s">
        <v>53</v>
      </c>
      <c r="B6" s="37">
        <f>B26</f>
        <v>2429.2798950000001</v>
      </c>
      <c r="C6" s="33"/>
      <c r="D6" s="37">
        <f>IF(ISERROR(TER_kantoor_gas_kWh/1000),0,TER_kantoor_gas_kWh/1000)*0.902</f>
        <v>2982.666326134</v>
      </c>
      <c r="E6" s="33">
        <f>$C$26*'E Balans VL '!I12/100/3.6*1000000</f>
        <v>19.547636426567962</v>
      </c>
      <c r="F6" s="33">
        <f>$C$26*('E Balans VL '!L12+'E Balans VL '!N12)/100/3.6*1000000</f>
        <v>297.00502237007862</v>
      </c>
      <c r="G6" s="34"/>
      <c r="H6" s="33"/>
      <c r="I6" s="33"/>
      <c r="J6" s="33">
        <f>$C$26*('E Balans VL '!D12+'E Balans VL '!E12)/100/3.6*1000000</f>
        <v>0</v>
      </c>
      <c r="K6" s="33"/>
      <c r="L6" s="33"/>
      <c r="M6" s="33"/>
      <c r="N6" s="33">
        <f>$C$26*'E Balans VL '!Y12/100/3.6*1000000</f>
        <v>1.3056183144756652</v>
      </c>
      <c r="O6" s="33"/>
      <c r="P6" s="33"/>
      <c r="R6" s="32"/>
    </row>
    <row r="7" spans="1:18">
      <c r="A7" s="32" t="s">
        <v>52</v>
      </c>
      <c r="B7" s="37">
        <f t="shared" ref="B7:B12" si="0">B27</f>
        <v>704.26816000000008</v>
      </c>
      <c r="C7" s="33"/>
      <c r="D7" s="37">
        <f>IF(ISERROR(TER_horeca_gas_kWh/1000),0,TER_horeca_gas_kWh/1000)*0.902</f>
        <v>786.74698247200001</v>
      </c>
      <c r="E7" s="33">
        <f>$C$27*'E Balans VL '!I9/100/3.6*1000000</f>
        <v>7.5621106581435944</v>
      </c>
      <c r="F7" s="33">
        <f>$C$27*('E Balans VL '!L9+'E Balans VL '!N9)/100/3.6*1000000</f>
        <v>84.70638206580594</v>
      </c>
      <c r="G7" s="34"/>
      <c r="H7" s="33"/>
      <c r="I7" s="33"/>
      <c r="J7" s="33">
        <f>$C$27*('E Balans VL '!D9+'E Balans VL '!E9)/100/3.6*1000000</f>
        <v>0</v>
      </c>
      <c r="K7" s="33"/>
      <c r="L7" s="33"/>
      <c r="M7" s="33"/>
      <c r="N7" s="33">
        <f>$C$27*'E Balans VL '!Y9/100/3.6*1000000</f>
        <v>0.10558407104242916</v>
      </c>
      <c r="O7" s="33"/>
      <c r="P7" s="33"/>
      <c r="R7" s="32"/>
    </row>
    <row r="8" spans="1:18">
      <c r="A8" s="6" t="s">
        <v>51</v>
      </c>
      <c r="B8" s="37">
        <f t="shared" si="0"/>
        <v>2021.1434769999998</v>
      </c>
      <c r="C8" s="33"/>
      <c r="D8" s="37">
        <f>IF(ISERROR(TER_handel_gas_kWh/1000),0,TER_handel_gas_kWh/1000)*0.902</f>
        <v>1729.4543344760002</v>
      </c>
      <c r="E8" s="33">
        <f>$C$28*'E Balans VL '!I13/100/3.6*1000000</f>
        <v>54.24130325195047</v>
      </c>
      <c r="F8" s="33">
        <f>$C$28*('E Balans VL '!L13+'E Balans VL '!N13)/100/3.6*1000000</f>
        <v>192.87938095397715</v>
      </c>
      <c r="G8" s="34"/>
      <c r="H8" s="33"/>
      <c r="I8" s="33"/>
      <c r="J8" s="33">
        <f>$C$28*('E Balans VL '!D13+'E Balans VL '!E13)/100/3.6*1000000</f>
        <v>0</v>
      </c>
      <c r="K8" s="33"/>
      <c r="L8" s="33"/>
      <c r="M8" s="33"/>
      <c r="N8" s="33">
        <f>$C$28*'E Balans VL '!Y13/100/3.6*1000000</f>
        <v>0.80120425546324514</v>
      </c>
      <c r="O8" s="33"/>
      <c r="P8" s="33"/>
      <c r="R8" s="32"/>
    </row>
    <row r="9" spans="1:18">
      <c r="A9" s="32" t="s">
        <v>50</v>
      </c>
      <c r="B9" s="37">
        <f t="shared" si="0"/>
        <v>494.97232100000002</v>
      </c>
      <c r="C9" s="33"/>
      <c r="D9" s="37">
        <f>IF(ISERROR(TER_gezond_gas_kWh/1000),0,TER_gezond_gas_kWh/1000)*0.902</f>
        <v>903.39506747600001</v>
      </c>
      <c r="E9" s="33">
        <f>$C$29*'E Balans VL '!I10/100/3.6*1000000</f>
        <v>0.92773929954033052</v>
      </c>
      <c r="F9" s="33">
        <f>$C$29*('E Balans VL '!L10+'E Balans VL '!N10)/100/3.6*1000000</f>
        <v>40.691241060635214</v>
      </c>
      <c r="G9" s="34"/>
      <c r="H9" s="33"/>
      <c r="I9" s="33"/>
      <c r="J9" s="33">
        <f>$C$29*('E Balans VL '!D10+'E Balans VL '!E10)/100/3.6*1000000</f>
        <v>0</v>
      </c>
      <c r="K9" s="33"/>
      <c r="L9" s="33"/>
      <c r="M9" s="33"/>
      <c r="N9" s="33">
        <f>$C$29*'E Balans VL '!Y10/100/3.6*1000000</f>
        <v>3.8512539597954056</v>
      </c>
      <c r="O9" s="33"/>
      <c r="P9" s="33"/>
      <c r="R9" s="32"/>
    </row>
    <row r="10" spans="1:18">
      <c r="A10" s="32" t="s">
        <v>49</v>
      </c>
      <c r="B10" s="37">
        <f t="shared" si="0"/>
        <v>677.44529599999998</v>
      </c>
      <c r="C10" s="33"/>
      <c r="D10" s="37">
        <f>IF(ISERROR(TER_ander_gas_kWh/1000),0,TER_ander_gas_kWh/1000)*0.902</f>
        <v>259.73450890200002</v>
      </c>
      <c r="E10" s="33">
        <f>$C$30*'E Balans VL '!I14/100/3.6*1000000</f>
        <v>1.0442887882311198</v>
      </c>
      <c r="F10" s="33">
        <f>$C$30*('E Balans VL '!L14+'E Balans VL '!N14)/100/3.6*1000000</f>
        <v>105.17356922305605</v>
      </c>
      <c r="G10" s="34"/>
      <c r="H10" s="33"/>
      <c r="I10" s="33"/>
      <c r="J10" s="33">
        <f>$C$30*('E Balans VL '!D14+'E Balans VL '!E14)/100/3.6*1000000</f>
        <v>1.1500348350209692E-2</v>
      </c>
      <c r="K10" s="33"/>
      <c r="L10" s="33"/>
      <c r="M10" s="33"/>
      <c r="N10" s="33">
        <f>$C$30*'E Balans VL '!Y14/100/3.6*1000000</f>
        <v>448.17609587484128</v>
      </c>
      <c r="O10" s="33"/>
      <c r="P10" s="33"/>
      <c r="R10" s="32"/>
    </row>
    <row r="11" spans="1:18">
      <c r="A11" s="32" t="s">
        <v>54</v>
      </c>
      <c r="B11" s="37">
        <f t="shared" si="0"/>
        <v>265.21087900000003</v>
      </c>
      <c r="C11" s="33"/>
      <c r="D11" s="37">
        <f>IF(ISERROR(TER_onderwijs_gas_kWh/1000),0,TER_onderwijs_gas_kWh/1000)*0.902</f>
        <v>413.36972087400005</v>
      </c>
      <c r="E11" s="33">
        <f>$C$31*'E Balans VL '!I11/100/3.6*1000000</f>
        <v>6.764688819770309</v>
      </c>
      <c r="F11" s="33">
        <f>$C$31*('E Balans VL '!L11+'E Balans VL '!N11)/100/3.6*1000000</f>
        <v>31.894104459604055</v>
      </c>
      <c r="G11" s="34"/>
      <c r="H11" s="33"/>
      <c r="I11" s="33"/>
      <c r="J11" s="33">
        <f>$C$31*('E Balans VL '!D11+'E Balans VL '!E11)/100/3.6*1000000</f>
        <v>0</v>
      </c>
      <c r="K11" s="33"/>
      <c r="L11" s="33"/>
      <c r="M11" s="33"/>
      <c r="N11" s="33">
        <f>$C$31*'E Balans VL '!Y11/100/3.6*1000000</f>
        <v>0.58982252369479227</v>
      </c>
      <c r="O11" s="33"/>
      <c r="P11" s="33"/>
      <c r="R11" s="32"/>
    </row>
    <row r="12" spans="1:18">
      <c r="A12" s="32" t="s">
        <v>254</v>
      </c>
      <c r="B12" s="37">
        <f t="shared" si="0"/>
        <v>6502.2252319999998</v>
      </c>
      <c r="C12" s="33"/>
      <c r="D12" s="37">
        <f>IF(ISERROR(TER_rest_gas_kWh/1000),0,TER_rest_gas_kWh/1000)*0.902</f>
        <v>6050.1009408620002</v>
      </c>
      <c r="E12" s="33">
        <f>$C$32*'E Balans VL '!I8/100/3.6*1000000</f>
        <v>83.933244733340118</v>
      </c>
      <c r="F12" s="33">
        <f>$C$32*('E Balans VL '!L8+'E Balans VL '!N8)/100/3.6*1000000</f>
        <v>747.01659278549835</v>
      </c>
      <c r="G12" s="34"/>
      <c r="H12" s="33"/>
      <c r="I12" s="33"/>
      <c r="J12" s="33">
        <f>$C$32*('E Balans VL '!D8+'E Balans VL '!E8)/100/3.6*1000000</f>
        <v>1.2461170634630593E-2</v>
      </c>
      <c r="K12" s="33"/>
      <c r="L12" s="33"/>
      <c r="M12" s="33"/>
      <c r="N12" s="33">
        <f>$C$32*'E Balans VL '!Y8/100/3.6*1000000</f>
        <v>492.32790164052739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13094.545259999999</v>
      </c>
      <c r="C16" s="21">
        <f t="shared" ca="1" si="1"/>
        <v>0</v>
      </c>
      <c r="D16" s="21">
        <f t="shared" ca="1" si="1"/>
        <v>13125.467881196</v>
      </c>
      <c r="E16" s="21">
        <f t="shared" si="1"/>
        <v>174.02101197754391</v>
      </c>
      <c r="F16" s="21">
        <f t="shared" ca="1" si="1"/>
        <v>1499.3662929186553</v>
      </c>
      <c r="G16" s="21">
        <f t="shared" si="1"/>
        <v>0</v>
      </c>
      <c r="H16" s="21">
        <f t="shared" si="1"/>
        <v>0</v>
      </c>
      <c r="I16" s="21">
        <f t="shared" si="1"/>
        <v>0</v>
      </c>
      <c r="J16" s="21">
        <f t="shared" si="1"/>
        <v>2.3961518984840287E-2</v>
      </c>
      <c r="K16" s="21">
        <f t="shared" si="1"/>
        <v>0</v>
      </c>
      <c r="L16" s="21">
        <f t="shared" ca="1" si="1"/>
        <v>0</v>
      </c>
      <c r="M16" s="21">
        <f t="shared" si="1"/>
        <v>0</v>
      </c>
      <c r="N16" s="21">
        <f t="shared" ca="1" si="1"/>
        <v>947.15748063984029</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0.2092498149645147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2740.0311726994628</v>
      </c>
      <c r="C20" s="23">
        <f t="shared" ref="C20:P20" ca="1" si="2">C16*C18</f>
        <v>0</v>
      </c>
      <c r="D20" s="23">
        <f t="shared" ca="1" si="2"/>
        <v>2651.3445120015922</v>
      </c>
      <c r="E20" s="23">
        <f t="shared" si="2"/>
        <v>39.502769718902471</v>
      </c>
      <c r="F20" s="23">
        <f t="shared" ca="1" si="2"/>
        <v>400.33080020928099</v>
      </c>
      <c r="G20" s="23">
        <f t="shared" si="2"/>
        <v>0</v>
      </c>
      <c r="H20" s="23">
        <f t="shared" si="2"/>
        <v>0</v>
      </c>
      <c r="I20" s="23">
        <f t="shared" si="2"/>
        <v>0</v>
      </c>
      <c r="J20" s="23">
        <f t="shared" si="2"/>
        <v>8.4823777206334619E-3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2429.2798950000001</v>
      </c>
      <c r="C26" s="39">
        <f>IF(ISERROR(B26*3.6/1000000/'E Balans VL '!Z12*100),0,B26*3.6/1000000/'E Balans VL '!Z12*100)</f>
        <v>5.153495043654302E-2</v>
      </c>
      <c r="D26" s="235" t="s">
        <v>698</v>
      </c>
      <c r="F26" s="6"/>
    </row>
    <row r="27" spans="1:18">
      <c r="A27" s="229" t="s">
        <v>52</v>
      </c>
      <c r="B27" s="33">
        <f>IF(ISERROR(TER_horeca_ele_kWh/1000),0,TER_horeca_ele_kWh/1000)</f>
        <v>704.26816000000008</v>
      </c>
      <c r="C27" s="39">
        <f>IF(ISERROR(B27*3.6/1000000/'E Balans VL '!Z9*100),0,B27*3.6/1000000/'E Balans VL '!Z9*100)</f>
        <v>5.3037631212113662E-2</v>
      </c>
      <c r="D27" s="235" t="s">
        <v>698</v>
      </c>
      <c r="F27" s="6"/>
    </row>
    <row r="28" spans="1:18">
      <c r="A28" s="169" t="s">
        <v>51</v>
      </c>
      <c r="B28" s="33">
        <f>IF(ISERROR(TER_handel_ele_kWh/1000),0,TER_handel_ele_kWh/1000)</f>
        <v>2021.1434769999998</v>
      </c>
      <c r="C28" s="39">
        <f>IF(ISERROR(B28*3.6/1000000/'E Balans VL '!Z13*100),0,B28*3.6/1000000/'E Balans VL '!Z13*100)</f>
        <v>5.8666633667220171E-2</v>
      </c>
      <c r="D28" s="235" t="s">
        <v>698</v>
      </c>
      <c r="F28" s="6"/>
    </row>
    <row r="29" spans="1:18">
      <c r="A29" s="229" t="s">
        <v>50</v>
      </c>
      <c r="B29" s="33">
        <f>IF(ISERROR(TER_gezond_ele_kWh/1000),0,TER_gezond_ele_kWh/1000)</f>
        <v>494.97232100000002</v>
      </c>
      <c r="C29" s="39">
        <f>IF(ISERROR(B29*3.6/1000000/'E Balans VL '!Z10*100),0,B29*3.6/1000000/'E Balans VL '!Z10*100)</f>
        <v>4.9918548851384317E-2</v>
      </c>
      <c r="D29" s="235" t="s">
        <v>698</v>
      </c>
      <c r="F29" s="6"/>
    </row>
    <row r="30" spans="1:18">
      <c r="A30" s="229" t="s">
        <v>49</v>
      </c>
      <c r="B30" s="33">
        <f>IF(ISERROR(TER_ander_ele_kWh/1000),0,TER_ander_ele_kWh/1000)</f>
        <v>677.44529599999998</v>
      </c>
      <c r="C30" s="39">
        <f>IF(ISERROR(B30*3.6/1000000/'E Balans VL '!Z14*100),0,B30*3.6/1000000/'E Balans VL '!Z14*100)</f>
        <v>4.9157898273214005E-2</v>
      </c>
      <c r="D30" s="235" t="s">
        <v>698</v>
      </c>
      <c r="F30" s="6"/>
    </row>
    <row r="31" spans="1:18">
      <c r="A31" s="229" t="s">
        <v>54</v>
      </c>
      <c r="B31" s="33">
        <f>IF(ISERROR(TER_onderwijs_ele_kWh/1000),0,TER_onderwijs_ele_kWh/1000)</f>
        <v>265.21087900000003</v>
      </c>
      <c r="C31" s="39">
        <f>IF(ISERROR(B31*3.6/1000000/'E Balans VL '!Z11*100),0,B31*3.6/1000000/'E Balans VL '!Z11*100)</f>
        <v>7.5595900404874919E-2</v>
      </c>
      <c r="D31" s="235" t="s">
        <v>698</v>
      </c>
    </row>
    <row r="32" spans="1:18">
      <c r="A32" s="229" t="s">
        <v>254</v>
      </c>
      <c r="B32" s="33">
        <f>IF(ISERROR(TER_rest_ele_kWh/1000),0,TER_rest_ele_kWh/1000)</f>
        <v>6502.2252319999998</v>
      </c>
      <c r="C32" s="39">
        <f>IF(ISERROR(B32*3.6/1000000/'E Balans VL '!Z8*100),0,B32*3.6/1000000/'E Balans VL '!Z8*100)</f>
        <v>5.3264904659271736E-2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9591.6109509999987</v>
      </c>
      <c r="C5" s="17">
        <f>IF(ISERROR('Eigen informatie GS &amp; warmtenet'!B61),0,'Eigen informatie GS &amp; warmtenet'!B61)</f>
        <v>0</v>
      </c>
      <c r="D5" s="30">
        <f>SUM(D6:D15)</f>
        <v>1548.6873413439998</v>
      </c>
      <c r="E5" s="17">
        <f>SUM(E6:E15)</f>
        <v>626.83952098311966</v>
      </c>
      <c r="F5" s="17">
        <f>SUM(F6:F15)</f>
        <v>2222.9195702856023</v>
      </c>
      <c r="G5" s="18"/>
      <c r="H5" s="17"/>
      <c r="I5" s="17"/>
      <c r="J5" s="17">
        <f>SUM(J6:J15)</f>
        <v>69.186801868316678</v>
      </c>
      <c r="K5" s="17"/>
      <c r="L5" s="17"/>
      <c r="M5" s="17"/>
      <c r="N5" s="17">
        <f>SUM(N6:N15)</f>
        <v>429.2114766594292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52.763523999999997</v>
      </c>
      <c r="C8" s="33"/>
      <c r="D8" s="37">
        <f>IF( ISERROR(IND_metaal_Gas_kWH/1000),0,IND_metaal_Gas_kWH/1000)*0.902</f>
        <v>0</v>
      </c>
      <c r="E8" s="33">
        <f>C30*'E Balans VL '!I18/100/3.6*1000000</f>
        <v>0.38065179275777794</v>
      </c>
      <c r="F8" s="33">
        <f>C30*'E Balans VL '!L18/100/3.6*1000000+C30*'E Balans VL '!N18/100/3.6*1000000</f>
        <v>4.9904564791686772</v>
      </c>
      <c r="G8" s="34"/>
      <c r="H8" s="33"/>
      <c r="I8" s="33"/>
      <c r="J8" s="40">
        <f>C30*'E Balans VL '!D18/100/3.6*1000000+C30*'E Balans VL '!E18/100/3.6*1000000</f>
        <v>5.3069859058491313E-2</v>
      </c>
      <c r="K8" s="33"/>
      <c r="L8" s="33"/>
      <c r="M8" s="33"/>
      <c r="N8" s="33">
        <f>C30*'E Balans VL '!Y18/100/3.6*1000000</f>
        <v>0.66707054186243919</v>
      </c>
      <c r="O8" s="33"/>
      <c r="P8" s="33"/>
      <c r="R8" s="32"/>
    </row>
    <row r="9" spans="1:18">
      <c r="A9" s="6" t="s">
        <v>32</v>
      </c>
      <c r="B9" s="37">
        <f t="shared" si="0"/>
        <v>815.86884900000007</v>
      </c>
      <c r="C9" s="33"/>
      <c r="D9" s="37">
        <f>IF( ISERROR(IND_andere_gas_kWh/1000),0,IND_andere_gas_kWh/1000)*0.902</f>
        <v>1176.5219672579999</v>
      </c>
      <c r="E9" s="33">
        <f>C31*'E Balans VL '!I19/100/3.6*1000000</f>
        <v>226.08816759118181</v>
      </c>
      <c r="F9" s="33">
        <f>C31*'E Balans VL '!L19/100/3.6*1000000+C31*'E Balans VL '!N19/100/3.6*1000000</f>
        <v>676.19386515737096</v>
      </c>
      <c r="G9" s="34"/>
      <c r="H9" s="33"/>
      <c r="I9" s="33"/>
      <c r="J9" s="40">
        <f>C31*'E Balans VL '!D19/100/3.6*1000000+C31*'E Balans VL '!E19/100/3.6*1000000</f>
        <v>0</v>
      </c>
      <c r="K9" s="33"/>
      <c r="L9" s="33"/>
      <c r="M9" s="33"/>
      <c r="N9" s="33">
        <f>C31*'E Balans VL '!Y19/100/3.6*1000000</f>
        <v>59.222099281050596</v>
      </c>
      <c r="O9" s="33"/>
      <c r="P9" s="33"/>
      <c r="R9" s="32"/>
    </row>
    <row r="10" spans="1:18">
      <c r="A10" s="6" t="s">
        <v>40</v>
      </c>
      <c r="B10" s="37">
        <f t="shared" si="0"/>
        <v>253.79579199999998</v>
      </c>
      <c r="C10" s="33"/>
      <c r="D10" s="37">
        <f>IF( ISERROR(IND_voed_gas_kWh/1000),0,IND_voed_gas_kWh/1000)*0.902</f>
        <v>55.122830972000003</v>
      </c>
      <c r="E10" s="33">
        <f>C32*'E Balans VL '!I20/100/3.6*1000000</f>
        <v>0.44930451798628618</v>
      </c>
      <c r="F10" s="33">
        <f>C32*'E Balans VL '!L20/100/3.6*1000000+C32*'E Balans VL '!N20/100/3.6*1000000</f>
        <v>13.707222139927298</v>
      </c>
      <c r="G10" s="34"/>
      <c r="H10" s="33"/>
      <c r="I10" s="33"/>
      <c r="J10" s="40">
        <f>C32*'E Balans VL '!D20/100/3.6*1000000+C32*'E Balans VL '!E20/100/3.6*1000000</f>
        <v>0</v>
      </c>
      <c r="K10" s="33"/>
      <c r="L10" s="33"/>
      <c r="M10" s="33"/>
      <c r="N10" s="33">
        <f>C32*'E Balans VL '!Y20/100/3.6*1000000</f>
        <v>14.747473777815978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104.553822</v>
      </c>
      <c r="C12" s="33"/>
      <c r="D12" s="37">
        <f>IF( ISERROR(IND_min_gas_kWh/1000),0,IND_min_gas_kWh/1000)*0.902</f>
        <v>73.026988869999997</v>
      </c>
      <c r="E12" s="33">
        <f>C34*'E Balans VL '!I22/100/3.6*1000000</f>
        <v>4.6041773738436191</v>
      </c>
      <c r="F12" s="33">
        <f>C34*'E Balans VL '!L22/100/3.6*1000000+C34*'E Balans VL '!N22/100/3.6*1000000</f>
        <v>40.884766866607862</v>
      </c>
      <c r="G12" s="34"/>
      <c r="H12" s="33"/>
      <c r="I12" s="33"/>
      <c r="J12" s="40">
        <f>C34*'E Balans VL '!D22/100/3.6*1000000+C34*'E Balans VL '!E22/100/3.6*1000000</f>
        <v>3.1746255779739177E-2</v>
      </c>
      <c r="K12" s="33"/>
      <c r="L12" s="33"/>
      <c r="M12" s="33"/>
      <c r="N12" s="33">
        <f>C34*'E Balans VL '!Y22/100/3.6*1000000</f>
        <v>25.863447050860888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8364.6289639999995</v>
      </c>
      <c r="C15" s="33"/>
      <c r="D15" s="37">
        <f>IF( ISERROR(IND_rest_gas_kWh/1000),0,IND_rest_gas_kWh/1000)*0.902</f>
        <v>244.01555424400001</v>
      </c>
      <c r="E15" s="33">
        <f>C37*'E Balans VL '!I15/100/3.6*1000000</f>
        <v>395.31721970735015</v>
      </c>
      <c r="F15" s="33">
        <f>C37*'E Balans VL '!L15/100/3.6*1000000+C37*'E Balans VL '!N15/100/3.6*1000000</f>
        <v>1487.1432596425273</v>
      </c>
      <c r="G15" s="34"/>
      <c r="H15" s="33"/>
      <c r="I15" s="33"/>
      <c r="J15" s="40">
        <f>C37*'E Balans VL '!D15/100/3.6*1000000+C37*'E Balans VL '!E15/100/3.6*1000000</f>
        <v>69.101985753478445</v>
      </c>
      <c r="K15" s="33"/>
      <c r="L15" s="33"/>
      <c r="M15" s="33"/>
      <c r="N15" s="33">
        <f>C37*'E Balans VL '!Y15/100/3.6*1000000</f>
        <v>328.71138600783928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9591.6109509999987</v>
      </c>
      <c r="C18" s="21">
        <f>C5+C16</f>
        <v>0</v>
      </c>
      <c r="D18" s="21">
        <f>MAX((D5+D16),0)</f>
        <v>1548.6873413439998</v>
      </c>
      <c r="E18" s="21">
        <f>MAX((E5+E16),0)</f>
        <v>626.83952098311966</v>
      </c>
      <c r="F18" s="21">
        <f>MAX((F5+F16),0)</f>
        <v>2222.9195702856023</v>
      </c>
      <c r="G18" s="21"/>
      <c r="H18" s="21"/>
      <c r="I18" s="21"/>
      <c r="J18" s="21">
        <f>MAX((J5+J16),0)</f>
        <v>69.186801868316678</v>
      </c>
      <c r="K18" s="21"/>
      <c r="L18" s="21">
        <f>MAX((L5+L16),0)</f>
        <v>0</v>
      </c>
      <c r="M18" s="21"/>
      <c r="N18" s="21">
        <f>MAX((N5+N16),0)</f>
        <v>429.2114766594292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0.2092498149645147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2007.0428167083626</v>
      </c>
      <c r="C22" s="23">
        <f ca="1">C18*C20</f>
        <v>0</v>
      </c>
      <c r="D22" s="23">
        <f>D18*D20</f>
        <v>312.83484295148799</v>
      </c>
      <c r="E22" s="23">
        <f>E18*E20</f>
        <v>142.29257126316816</v>
      </c>
      <c r="F22" s="23">
        <f>F18*F20</f>
        <v>593.51952526625587</v>
      </c>
      <c r="G22" s="23"/>
      <c r="H22" s="23"/>
      <c r="I22" s="23"/>
      <c r="J22" s="23">
        <f>J18*J20</f>
        <v>24.492127861384102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52.763523999999997</v>
      </c>
      <c r="C30" s="39">
        <f>IF(ISERROR(B30*3.6/1000000/'E Balans VL '!Z18*100),0,B30*3.6/1000000/'E Balans VL '!Z18*100)</f>
        <v>3.0459559110783815E-3</v>
      </c>
      <c r="D30" s="235" t="s">
        <v>698</v>
      </c>
    </row>
    <row r="31" spans="1:18">
      <c r="A31" s="6" t="s">
        <v>32</v>
      </c>
      <c r="B31" s="37">
        <f>IF( ISERROR(IND_ander_ele_kWh/1000),0,IND_ander_ele_kWh/1000)</f>
        <v>815.86884900000007</v>
      </c>
      <c r="C31" s="39">
        <f>IF(ISERROR(B31*3.6/1000000/'E Balans VL '!Z19*100),0,B31*3.6/1000000/'E Balans VL '!Z19*100)</f>
        <v>4.1035558568225002E-2</v>
      </c>
      <c r="D31" s="235" t="s">
        <v>698</v>
      </c>
    </row>
    <row r="32" spans="1:18">
      <c r="A32" s="169" t="s">
        <v>40</v>
      </c>
      <c r="B32" s="37">
        <f>IF( ISERROR(IND_voed_ele_kWh/1000),0,IND_voed_ele_kWh/1000)</f>
        <v>253.79579199999998</v>
      </c>
      <c r="C32" s="39">
        <f>IF(ISERROR(B32*3.6/1000000/'E Balans VL '!Z20*100),0,B32*3.6/1000000/'E Balans VL '!Z20*100)</f>
        <v>8.4529069759759178E-3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104.553822</v>
      </c>
      <c r="C34" s="39">
        <f>IF(ISERROR(B34*3.6/1000000/'E Balans VL '!Z22*100),0,B34*3.6/1000000/'E Balans VL '!Z22*100)</f>
        <v>1.9502819250350682E-2</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8364.6289639999995</v>
      </c>
      <c r="C37" s="39">
        <f>IF(ISERROR(B37*3.6/1000000/'E Balans VL '!Z15*100),0,B37*3.6/1000000/'E Balans VL '!Z15*100)</f>
        <v>6.5266980094483756E-2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68.228282000000007</v>
      </c>
      <c r="C5" s="17">
        <f>'Eigen informatie GS &amp; warmtenet'!B62</f>
        <v>0</v>
      </c>
      <c r="D5" s="30">
        <f>IF(ISERROR(SUM(LB_lb_gas_kWh,LB_rest_gas_kWh)/1000),0,SUM(LB_lb_gas_kWh,LB_rest_gas_kWh)/1000)*0.902</f>
        <v>113.21401495800001</v>
      </c>
      <c r="E5" s="17">
        <f>B17*'E Balans VL '!I25/3.6*1000000/100</f>
        <v>2.1293821823082397</v>
      </c>
      <c r="F5" s="17">
        <f>B17*('E Balans VL '!L25/3.6*1000000+'E Balans VL '!N25/3.6*1000000)/100</f>
        <v>241.12630671319198</v>
      </c>
      <c r="G5" s="18"/>
      <c r="H5" s="17"/>
      <c r="I5" s="17"/>
      <c r="J5" s="17">
        <f>('E Balans VL '!D25+'E Balans VL '!E25)/3.6*1000000*landbouw!B17/100</f>
        <v>18.797364849988934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68.228282000000007</v>
      </c>
      <c r="C8" s="21">
        <f>C5+C6</f>
        <v>0</v>
      </c>
      <c r="D8" s="21">
        <f>MAX((D5+D6),0)</f>
        <v>113.21401495800001</v>
      </c>
      <c r="E8" s="21">
        <f>MAX((E5+E6),0)</f>
        <v>2.1293821823082397</v>
      </c>
      <c r="F8" s="21">
        <f>MAX((F5+F6),0)</f>
        <v>241.12630671319198</v>
      </c>
      <c r="G8" s="21"/>
      <c r="H8" s="21"/>
      <c r="I8" s="21"/>
      <c r="J8" s="21">
        <f>MAX((J5+J6),0)</f>
        <v>18.797364849988934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0.2092498149645147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14.27675538384673</v>
      </c>
      <c r="C12" s="23">
        <f ca="1">C8*C10</f>
        <v>0</v>
      </c>
      <c r="D12" s="23">
        <f>D8*D10</f>
        <v>22.869231021516004</v>
      </c>
      <c r="E12" s="23">
        <f>E8*E10</f>
        <v>0.48336975538397042</v>
      </c>
      <c r="F12" s="23">
        <f>F8*F10</f>
        <v>64.380723892422267</v>
      </c>
      <c r="G12" s="23"/>
      <c r="H12" s="23"/>
      <c r="I12" s="23"/>
      <c r="J12" s="23">
        <f>J8*J10</f>
        <v>6.6542671568960827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1.0142623225954623E-2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14.432540957494425</v>
      </c>
      <c r="C26" s="245">
        <f>B26*'GWP N2O_CH4'!B5</f>
        <v>303.08336010738293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1.6384721759012071</v>
      </c>
      <c r="C27" s="245">
        <f>B27*'GWP N2O_CH4'!B5</f>
        <v>34.407915693925347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0.22110288131384945</v>
      </c>
      <c r="C28" s="245">
        <f>B28*'GWP N2O_CH4'!B4</f>
        <v>68.541893207293327</v>
      </c>
      <c r="D28" s="50"/>
    </row>
    <row r="29" spans="1:4">
      <c r="A29" s="41" t="s">
        <v>271</v>
      </c>
      <c r="B29" s="245">
        <f>B34*'ha_N2O bodem landbouw'!B4</f>
        <v>1.5625826428043672</v>
      </c>
      <c r="C29" s="245">
        <f>B29*'GWP N2O_CH4'!B4</f>
        <v>484.40061926935385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3.426462398990944E-4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1.3025663659717207E-4</v>
      </c>
      <c r="C5" s="433" t="s">
        <v>210</v>
      </c>
      <c r="D5" s="418">
        <f>SUM(D6:D11)</f>
        <v>2.4897664480129968E-4</v>
      </c>
      <c r="E5" s="418">
        <f>SUM(E6:E11)</f>
        <v>2.1311957697283656E-4</v>
      </c>
      <c r="F5" s="431" t="s">
        <v>210</v>
      </c>
      <c r="G5" s="418">
        <f>SUM(G6:G11)</f>
        <v>7.9001091369074711E-2</v>
      </c>
      <c r="H5" s="418">
        <f>SUM(H6:H11)</f>
        <v>2.2031745835284895E-2</v>
      </c>
      <c r="I5" s="433" t="s">
        <v>210</v>
      </c>
      <c r="J5" s="433" t="s">
        <v>210</v>
      </c>
      <c r="K5" s="433" t="s">
        <v>210</v>
      </c>
      <c r="L5" s="433" t="s">
        <v>210</v>
      </c>
      <c r="M5" s="418">
        <f>SUM(M6:M11)</f>
        <v>6.0124986518532986E-3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6.6302532767065453E-5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1.1192512227443359E-4</v>
      </c>
      <c r="E6" s="884">
        <f>vkm_GW_PW*SUMIFS(TableVerdeelsleutelVkm[LPG],TableVerdeelsleutelVkm[Voertuigtype],"Lichte voertuigen")*SUMIFS(TableECFTransport[EnergieConsumptieFactor (PJ per km)],TableECFTransport[Index],CONCATENATE($A6,"_LPG_LPG"))</f>
        <v>9.8076898917475952E-5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3.063731840018518E-2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9.9837398713180092E-3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2.4270206341033065E-3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2.8141023493158974E-7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1.0740641722633634E-2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1.4929836310848288E-7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6.1911615065066779E-4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6.3582603854021394E-5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1.3705152252686608E-4</v>
      </c>
      <c r="E8" s="421">
        <f>vkm_NGW_PW*SUMIFS(TableVerdeelsleutelVkm[LPG],TableVerdeelsleutelVkm[Voertuigtype],"Lichte voertuigen")*SUMIFS(TableECFTransport[EnergieConsumptieFactor (PJ per km)],TableECFTransport[Index],CONCATENATE($A8,"_LPG_LPG"))</f>
        <v>1.1504267805536061E-4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3.3202707788682291E-2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1.2047798974753113E-2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2.7115583873847187E-3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9.0089741153623078E-8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4.4204234575736003E-3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5.7690850666602299E-8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2.5480347971460604E-4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36.182399054770016</v>
      </c>
      <c r="C14" s="21"/>
      <c r="D14" s="21">
        <f t="shared" ref="D14:M14" si="0">((D5)*10^9/3600)+D12</f>
        <v>69.160179111472132</v>
      </c>
      <c r="E14" s="21">
        <f t="shared" si="0"/>
        <v>59.199882492454606</v>
      </c>
      <c r="F14" s="21"/>
      <c r="G14" s="21">
        <f t="shared" si="0"/>
        <v>21944.747602520754</v>
      </c>
      <c r="H14" s="21">
        <f t="shared" si="0"/>
        <v>6119.9293986902485</v>
      </c>
      <c r="I14" s="21"/>
      <c r="J14" s="21"/>
      <c r="K14" s="21"/>
      <c r="L14" s="21"/>
      <c r="M14" s="21">
        <f t="shared" si="0"/>
        <v>1670.138514403694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0.2092498149645147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7.5711603071828577</v>
      </c>
      <c r="C18" s="23"/>
      <c r="D18" s="23">
        <f t="shared" ref="D18:M18" si="1">D14*D16</f>
        <v>13.970356180517372</v>
      </c>
      <c r="E18" s="23">
        <f t="shared" si="1"/>
        <v>13.438373325787197</v>
      </c>
      <c r="F18" s="23"/>
      <c r="G18" s="23">
        <f t="shared" si="1"/>
        <v>5859.2476098730422</v>
      </c>
      <c r="H18" s="23">
        <f t="shared" si="1"/>
        <v>1523.862420273872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5.3568274266918034E-5</v>
      </c>
      <c r="C50" s="315">
        <f t="shared" ref="C50:P50" si="2">SUM(C51:C52)</f>
        <v>0</v>
      </c>
      <c r="D50" s="315">
        <f t="shared" si="2"/>
        <v>0</v>
      </c>
      <c r="E50" s="315">
        <f t="shared" si="2"/>
        <v>0</v>
      </c>
      <c r="F50" s="315">
        <f t="shared" si="2"/>
        <v>0</v>
      </c>
      <c r="G50" s="315">
        <f t="shared" si="2"/>
        <v>3.8811021512766466E-3</v>
      </c>
      <c r="H50" s="315">
        <f t="shared" si="2"/>
        <v>0</v>
      </c>
      <c r="I50" s="315">
        <f t="shared" si="2"/>
        <v>0</v>
      </c>
      <c r="J50" s="315">
        <f t="shared" si="2"/>
        <v>0</v>
      </c>
      <c r="K50" s="315">
        <f t="shared" si="2"/>
        <v>0</v>
      </c>
      <c r="L50" s="315">
        <f t="shared" si="2"/>
        <v>0</v>
      </c>
      <c r="M50" s="315">
        <f t="shared" si="2"/>
        <v>2.1952669560247826E-4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5.3568274266918034E-5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3.8811021512766466E-3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2.1952669560247826E-4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14.88007618525501</v>
      </c>
      <c r="C54" s="21">
        <f t="shared" ref="C54:P54" si="3">(C50)*10^9/3600</f>
        <v>0</v>
      </c>
      <c r="D54" s="21">
        <f t="shared" si="3"/>
        <v>0</v>
      </c>
      <c r="E54" s="21">
        <f t="shared" si="3"/>
        <v>0</v>
      </c>
      <c r="F54" s="21">
        <f t="shared" si="3"/>
        <v>0</v>
      </c>
      <c r="G54" s="21">
        <f t="shared" si="3"/>
        <v>1078.0839309101796</v>
      </c>
      <c r="H54" s="21">
        <f t="shared" si="3"/>
        <v>0</v>
      </c>
      <c r="I54" s="21">
        <f t="shared" si="3"/>
        <v>0</v>
      </c>
      <c r="J54" s="21">
        <f t="shared" si="3"/>
        <v>0</v>
      </c>
      <c r="K54" s="21">
        <f t="shared" si="3"/>
        <v>0</v>
      </c>
      <c r="L54" s="21">
        <f t="shared" si="3"/>
        <v>0</v>
      </c>
      <c r="M54" s="21">
        <f t="shared" si="3"/>
        <v>60.979637667355071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0.2092498149645147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3.1136531884224925</v>
      </c>
      <c r="C58" s="23">
        <f t="shared" ref="C58:P58" ca="1" si="4">C54*C56</f>
        <v>0</v>
      </c>
      <c r="D58" s="23">
        <f t="shared" si="4"/>
        <v>0</v>
      </c>
      <c r="E58" s="23">
        <f t="shared" si="4"/>
        <v>0</v>
      </c>
      <c r="F58" s="23">
        <f t="shared" si="4"/>
        <v>0</v>
      </c>
      <c r="G58" s="23">
        <f t="shared" si="4"/>
        <v>287.84840955301797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2465.0172002897825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2465.0172002897825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2021-06-29T14:42:08Z</dcterms:modified>
</cp:coreProperties>
</file>