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<sst xmlns="http://schemas.openxmlformats.org/spreadsheetml/2006/main" count="2484" uniqueCount="906">
  <si>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</si>
  <si>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</si>
  <si>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</si>
  <si>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</si>
  <si>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</si>
  <si>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</si>
  <si>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</si>
  <si>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</si>
  <si>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</si>
  <si>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</si>
  <si>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</si>
  <si>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</si>
  <si>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</si>
  <si>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</si>
  <si>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</si>
  <si>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</si>
  <si>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</si>
  <si>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</si>
  <si>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</si>
  <si>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</si>
  <si>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</si>
  <si>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</si>
  <si>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</si>
  <si>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</si>
  <si>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</si>
  <si>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</si>
  <si>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</si>
  <si>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</si>
  <si>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</si>
  <si>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</si>
  <si>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</si>
  <si>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</si>
  <si>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</si>
  <si>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</si>
  <si>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</si>
  <si>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</si>
  <si>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</si>
  <si>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</si>
  <si>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</si>
  <si>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</si>
  <si>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</si>
  <si>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</si>
  <si>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</si>
  <si>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</si>
  <si>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</si>
  <si>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</si>
  <si>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</si>
  <si>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</si>
  <si>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</si>
  <si>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</si>
  <si>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</si>
  <si>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</si>
  <si>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</si>
  <si>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</si>
  <si>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</si>
  <si>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</si>
  <si>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</si>
  <si>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</si>
  <si>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</si>
  <si>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</si>
  <si>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</si>
  <si>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</si>
  <si>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</si>
  <si>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</si>
  <si>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</si>
  <si>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</si>
  <si>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</si>
  <si>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</si>
  <si>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</si>
  <si>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</si>
  <si>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</si>
  <si>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</si>
  <si>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</si>
  <si>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</si>
  <si>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</si>
  <si>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</si>
  <si>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</si>
  <si>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</si>
  <si>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</si>
  <si>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</si>
  <si>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</si>
  <si>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</si>
  <si>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</si>
  <si>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</si>
  <si>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</si>
  <si>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</si>
  <si>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</si>
  <si>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</si>
  <si>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</si>
  <si>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</si>
  <si>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</si>
  <si>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</si>
  <si>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</si>
  <si>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</si>
  <si>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</si>
  <si>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</si>
  <si>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</si>
  <si>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</si>
  <si>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</si>
  <si>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</si>
  <si>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</si>
  <si>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</si>
  <si>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</si>
  <si>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</si>
  <si>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</si>
  <si>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</si>
  <si>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</si>
  <si>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</si>
  <si>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</si>
  <si>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</si>
  <si>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</si>
  <si>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</si>
  <si>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</si>
  <si>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</si>
  <si>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</si>
  <si>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</si>
  <si>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</si>
  <si>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</si>
  <si>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</si>
  <si>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</si>
  <si>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</si>
  <si>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</si>
  <si>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</si>
  <si>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</si>
  <si>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</si>
  <si>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</si>
  <si>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</si>
  <si>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</si>
  <si>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</si>
  <si>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</si>
  <si>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</si>
  <si>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</si>
  <si>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</si>
  <si>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</si>
  <si>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</si>
  <si>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</si>
  <si>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</si>
  <si>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</si>
  <si>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</si>
  <si>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</si>
  <si>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</si>
  <si>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</si>
  <si>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</si>
  <si>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</si>
  <si>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</si>
  <si>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</si>
  <si>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</si>
  <si>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</si>
  <si>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</si>
  <si>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</si>
  <si>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</si>
  <si>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</si>
  <si>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</si>
  <si>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</si>
  <si>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</si>
  <si>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</si>
  <si>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</si>
  <si>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</si>
  <si>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</si>
  <si>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</si>
  <si>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</si>
  <si>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</si>
  <si>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</si>
  <si>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</si>
  <si>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</si>
  <si>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</si>
  <si>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</si>
  <si>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</si>
  <si>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</si>
  <si>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</si>
  <si>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</si>
  <si>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</si>
  <si>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</si>
  <si>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</si>
  <si>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</si>
  <si>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</si>
  <si>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</si>
  <si>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</si>
  <si>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</si>
  <si>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</si>
  <si>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</si>
  <si>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</si>
  <si>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</si>
  <si>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</si>
  <si>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</si>
  <si>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</si>
  <si>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</si>
  <si>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</si>
  <si>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</si>
  <si>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</si>
  <si>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</si>
  <si>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</si>
  <si>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</si>
  <si>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</si>
  <si>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</si>
  <si>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</si>
  <si>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</si>
  <si>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</si>
  <si>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</si>
  <si>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</si>
  <si>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</si>
  <si>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</si>
  <si>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</si>
  <si>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</si>
  <si>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</si>
  <si>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</si>
  <si>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</si>
  <si>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</si>
  <si>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</si>
  <si>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</si>
  <si>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</si>
  <si>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</si>
  <si>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</si>
  <si>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</si>
  <si>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</si>
  <si>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</si>
  <si>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</si>
  <si>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</si>
  <si>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</si>
  <si>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</si>
  <si>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</si>
  <si>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</si>
  <si>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</si>
  <si>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</si>
  <si>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</si>
  <si>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</si>
  <si>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</si>
  <si>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</si>
  <si>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</si>
  <si>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</si>
  <si>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</si>
  <si>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</si>
  <si>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</si>
  <si>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</si>
  <si>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</si>
  <si>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</si>
  <si>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</si>
  <si>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</si>
  <si>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</si>
  <si>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</si>
  <si>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</si>
  <si>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</si>
  <si>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</si>
  <si>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</si>
  <si>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</si>
  <si>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</si>
  <si>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</si>
  <si>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</si>
  <si>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</si>
  <si>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</si>
  <si>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</si>
  <si>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</si>
  <si>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</si>
  <si>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</si>
  <si>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</si>
  <si>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</si>
  <si>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</si>
  <si>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</si>
  <si>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</si>
  <si>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</si>
  <si>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</si>
  <si>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</si>
  <si>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</si>
  <si>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</si>
  <si>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</si>
  <si>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</si>
  <si>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</si>
  <si>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</si>
  <si>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</si>
  <si>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</si>
  <si>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</si>
  <si>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</si>
  <si>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</si>
  <si>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</si>
  <si>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</si>
  <si>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</si>
  <si>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</si>
  <si>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</si>
  <si>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</si>
  <si>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</si>
  <si>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</si>
  <si>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</si>
  <si>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</si>
  <si>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</si>
  <si>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</si>
  <si>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</si>
  <si>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</si>
  <si>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</si>
  <si>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</si>
  <si>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</si>
  <si>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</si>
  <si>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</si>
  <si>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</si>
  <si>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</si>
  <si>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</si>
  <si>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</si>
  <si>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</si>
  <si>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</si>
  <si>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</si>
  <si>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</si>
  <si>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</si>
  <si>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</si>
  <si>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</si>
  <si>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</si>
  <si>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</si>
  <si>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</si>
  <si>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</si>
  <si>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</si>
  <si>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</si>
  <si>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</si>
  <si>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</si>
  <si>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</si>
  <si>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</si>
  <si>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</si>
  <si>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</si>
  <si>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</si>
  <si>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</si>
  <si>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</si>
  <si>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</si>
  <si>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</si>
  <si>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</si>
  <si>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</si>
  <si>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</si>
  <si>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</si>
  <si>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</si>
  <si>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</si>
  <si>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</si>
  <si>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</si>
  <si>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</si>
  <si>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</si>
  <si>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</si>
  <si>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</si>
  <si>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</si>
  <si>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</si>
  <si>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</si>
  <si>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</si>
  <si>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</si>
  <si>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</si>
  <si>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</si>
  <si>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</si>
  <si>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</si>
  <si>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</si>
  <si>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</si>
  <si>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</si>
  <si>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</si>
  <si>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</si>
  <si>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</si>
  <si>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</si>
  <si>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</si>
  <si>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</si>
  <si>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</si>
  <si>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</si>
  <si>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</si>
  <si>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</si>
  <si>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</si>
  <si>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</si>
  <si>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</si>
  <si>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</si>
  <si>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</si>
  <si>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</si>
  <si>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</si>
  <si>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</si>
  <si>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</si>
  <si>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</si>
  <si>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</si>
  <si>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</si>
  <si>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</si>
  <si>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</si>
  <si>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</si>
  <si>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</si>
  <si>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</si>
  <si>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</si>
  <si>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</si>
  <si>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</si>
  <si>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</si>
  <si>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</si>
  <si>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</si>
  <si>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</si>
  <si>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</si>
  <si>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</si>
  <si>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</si>
  <si>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</si>
  <si>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</si>
  <si>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</si>
  <si>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</si>
  <si>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</si>
  <si>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</si>
  <si>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</si>
  <si>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</si>
  <si>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</si>
  <si>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</si>
  <si>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</si>
  <si>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</si>
  <si>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</si>
  <si>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</si>
  <si>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</si>
  <si>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</si>
  <si>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</si>
  <si>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</si>
  <si>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</si>
  <si>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</si>
  <si>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</si>
  <si>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</si>
  <si>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</si>
  <si>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</si>
  <si>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</si>
  <si>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</si>
  <si>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</si>
  <si>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</si>
  <si>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</si>
  <si>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</si>
  <si>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</si>
  <si>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</si>
  <si>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</si>
  <si>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</si>
  <si>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</si>
  <si>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</si>
  <si>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</si>
  <si>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</si>
  <si>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</si>
  <si>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</si>
  <si>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</si>
  <si>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</si>
  <si>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</si>
  <si>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</si>
  <si>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</si>
  <si>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</si>
  <si>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</si>
  <si>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</si>
  <si>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</si>
  <si>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</si>
  <si>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</si>
  <si>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</si>
  <si>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</si>
  <si>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</si>
  <si>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</si>
  <si>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</si>
  <si>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</si>
  <si>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</si>
  <si>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</si>
  <si>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</si>
  <si>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</si>
  <si>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</si>
  <si>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</si>
  <si>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</si>
  <si>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</si>
  <si>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</si>
  <si>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</si>
  <si>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</si>
  <si>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</si>
  <si>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</si>
  <si>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</si>
  <si>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</si>
  <si>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</si>
  <si>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</si>
  <si>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</si>
  <si>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</si>
  <si>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</si>
  <si>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</si>
  <si>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</si>
  <si>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</si>
  <si>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</si>
  <si>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</si>
  <si>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</si>
  <si>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</si>
  <si>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</si>
  <si>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</si>
  <si>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</si>
  <si>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</si>
  <si>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</si>
  <si>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</si>
  <si>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</si>
  <si>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</si>
  <si>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</si>
  <si>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</si>
  <si>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</si>
  <si>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</si>
  <si>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</si>
  <si>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</si>
  <si>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</si>
  <si>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</si>
  <si>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</si>
  <si>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</si>
  <si>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</si>
  <si>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</si>
  <si>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</si>
  <si>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</si>
  <si>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</si>
  <si>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</si>
  <si>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</si>
  <si>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</si>
  <si>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</si>
  <si>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</si>
  <si>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</si>
  <si>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</si>
  <si>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</si>
  <si>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</si>
  <si>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</si>
  <si>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</si>
  <si>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</si>
  <si>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</si>
  <si>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</si>
  <si>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</si>
  <si>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</si>
  <si>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</si>
  <si>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</si>
  <si>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</si>
  <si>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</si>
  <si>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</si>
  <si>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</si>
  <si>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</si>
  <si>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</si>
  <si>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</si>
  <si>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</si>
  <si>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</si>
  <si>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</si>
  <si>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</si>
  <si>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</si>
  <si>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</si>
  <si>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</si>
  <si>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</si>
  <si>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</si>
  <si>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</si>
  <si>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</si>
  <si>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</si>
  <si>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</si>
  <si>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</si>
  <si>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</si>
  <si>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</si>
  <si>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</si>
  <si>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</si>
  <si>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</si>
  <si>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</si>
  <si>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</si>
  <si>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</si>
  <si>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</si>
  <si>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</si>
  <si>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</si>
  <si>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</si>
  <si>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</si>
  <si>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</si>
  <si>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</si>
  <si>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</si>
  <si>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</si>
  <si>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</si>
  <si>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</si>
  <si>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</si>
  <si>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</si>
  <si>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</si>
  <si>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</si>
  <si>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</si>
  <si>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</si>
  <si>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</si>
  <si>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</si>
  <si>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</si>
  <si>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</si>
  <si>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</si>
  <si>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</si>
  <si>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</si>
  <si>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</si>
  <si>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</si>
  <si>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</si>
  <si>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</si>
  <si>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</si>
  <si>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</si>
  <si>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</si>
  <si>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</si>
  <si>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</si>
  <si>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</si>
  <si>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</si>
  <si>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</si>
  <si>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</si>
  <si>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</si>
  <si>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</si>
  <si>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</si>
  <si>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</si>
  <si>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</si>
  <si>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</si>
  <si>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</si>
  <si>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</si>
  <si>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</si>
  <si>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</si>
  <si>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</si>
  <si>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</si>
  <si>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</si>
  <si>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</si>
  <si>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</si>
  <si>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</si>
  <si>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</si>
  <si>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</si>
  <si>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</si>
  <si>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</si>
  <si>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</si>
  <si>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</si>
  <si>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</si>
  <si>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</si>
  <si>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</si>
  <si>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</si>
  <si>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</si>
  <si>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</si>
  <si>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</si>
  <si>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</si>
  <si>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</si>
  <si>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</si>
  <si>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</si>
  <si>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</si>
  <si>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</si>
  <si>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</si>
  <si>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</si>
  <si>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</si>
  <si>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</si>
  <si>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</si>
  <si>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</si>
  <si>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</si>
  <si>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</si>
  <si>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</si>
  <si>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</si>
  <si>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</si>
  <si>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</si>
  <si>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</si>
  <si>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</si>
  <si>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</si>
  <si>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</si>
  <si>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</si>
  <si>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</si>
  <si>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</si>
  <si>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</si>
  <si>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</si>
  <si>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</si>
  <si>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</si>
  <si>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</si>
  <si>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</si>
  <si>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</si>
  <si>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</si>
  <si>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</si>
  <si>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</si>
  <si>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</si>
  <si>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</si>
  <si>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</si>
  <si>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</si>
  <si>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</si>
  <si>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</si>
  <si>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</si>
  <si>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</si>
  <si>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</si>
  <si>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</si>
  <si>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</si>
  <si>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</si>
  <si>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</si>
  <si>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</si>
  <si>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</si>
  <si>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</si>
  <si>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</si>
  <si>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</si>
  <si>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</si>
  <si>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</si>
  <si>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</si>
  <si>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</si>
  <si>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</si>
  <si>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</si>
  <si>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</si>
  <si>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</si>
  <si>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</si>
  <si>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</si>
  <si>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</si>
  <si>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</si>
  <si>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</si>
  <si>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</si>
  <si>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</si>
  <si>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</si>
  <si>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</si>
  <si>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</si>
  <si>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</si>
  <si>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</si>
  <si>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</si>
  <si>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</si>
  <si>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</si>
  <si>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</si>
  <si>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</si>
  <si>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</si>
  <si>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</si>
  <si>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</si>
  <si>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</si>
  <si>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</si>
  <si>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</si>
  <si>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</si>
  <si>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</si>
  <si>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</si>
  <si>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</si>
  <si>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</si>
  <si>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</si>
  <si>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</si>
  <si>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</si>
  <si>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</si>
  <si>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</si>
  <si>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</si>
  <si>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</si>
  <si>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</si>
  <si>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</si>
  <si>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</si>
  <si>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</si>
  <si>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</si>
  <si>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</si>
  <si>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</si>
  <si>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</si>
  <si>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</si>
  <si>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</si>
  <si>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</si>
  <si>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</si>
  <si>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</si>
  <si>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</si>
  <si>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</si>
  <si>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</si>
  <si>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</si>
  <si>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</si>
  <si>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</si>
  <si>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</si>
  <si>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</si>
  <si>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</si>
  <si>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</si>
  <si>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</si>
  <si>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</si>
  <si>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</si>
  <si>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</si>
  <si>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</si>
  <si>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</si>
  <si>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</si>
  <si>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</si>
  <si>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</si>
  <si>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</si>
  <si>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</si>
  <si>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</si>
  <si>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</si>
  <si>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</si>
  <si>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</si>
  <si>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</si>
  <si>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</si>
  <si>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</si>
  <si>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</si>
  <si>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</si>
  <si>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</si>
  <si>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</si>
  <si>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</si>
  <si>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</si>
  <si>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</si>
  <si>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</si>
  <si>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</si>
  <si>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</si>
  <si>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</si>
  <si>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</si>
  <si>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</si>
  <si>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</si>
  <si>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</si>
  <si>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</si>
  <si>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</si>
  <si>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</si>
  <si>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</si>
  <si>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</si>
  <si>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</si>
  <si>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</si>
  <si>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</si>
  <si>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</si>
  <si>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</si>
  <si>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</si>
  <si>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</si>
  <si>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</si>
  <si>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</si>
  <si>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</si>
  <si>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</si>
  <si>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</si>
  <si>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</si>
  <si>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</si>
  <si>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</si>
  <si>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</si>
  <si>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</si>
  <si>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</si>
  <si>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</si>
  <si>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</si>
  <si>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</si>
  <si>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</si>
  <si>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</si>
  <si>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</si>
  <si>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</si>
  <si>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</si>
  <si>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</si>
  <si>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</si>
  <si>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</si>
  <si>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</si>
  <si>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</si>
  <si>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</si>
  <si>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</si>
  <si>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</si>
  <si>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</si>
  <si>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</si>
  <si>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</si>
  <si>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</si>
  <si>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</si>
  <si>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</si>
  <si>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</si>
  <si>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</si>
  <si>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</si>
  <si>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</si>
  <si>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</si>
  <si>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</si>
  <si>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</si>
  <si>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</si>
  <si>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</si>
  <si>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</si>
  <si>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</si>
  <si>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</si>
  <si>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</si>
  <si>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</si>
  <si>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</si>
  <si>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</si>
  <si>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</si>
  <si>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</si>
  <si>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</si>
  <si>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</si>
  <si>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</si>
  <si>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</si>
  <si>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</si>
  <si>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</si>
  <si>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</si>
  <si>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</si>
  <si>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</si>
  <si>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</si>
  <si>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</si>
  <si>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</si>
  <si>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</si>
  <si>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</si>
  <si>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</si>
  <si>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</si>
  <si>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</si>
  <si>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</si>
  <si>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</si>
  <si>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</si>
  <si>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</si>
  <si>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</si>
  <si>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</si>
  <si>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</si>
  <si>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</si>
  <si>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</si>
  <si>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</si>
  <si>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</si>
  <si>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</si>
  <si>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</si>
  <si>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</si>
  <si>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</si>
  <si>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</si>
  <si>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</si>
  <si>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</si>
  <si>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</si>
  <si>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</si>
  <si>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</si>
  <si>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</si>
  <si>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</si>
  <si>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</si>
  <si>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</si>
  <si>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</si>
  <si>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</si>
  <si>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</si>
  <si>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</si>
  <si>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</si>
  <si>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</si>
  <si>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</si>
  <si>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</si>
  <si>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</si>
  <si>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</si>
  <si>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</si>
  <si>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</si>
  <si>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</si>
  <si>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</si>
  <si>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</si>
  <si>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</si>
  <si>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</si>
  <si>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</si>
  <si>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</si>
  <si>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</si>
  <si>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</si>
  <si>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</si>
  <si>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</si>
  <si>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</si>
  <si>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</si>
  <si>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</si>
  <si>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</si>
  <si>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</si>
  <si>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</si>
  <si>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</si>
  <si>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</si>
  <si>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</si>
  <si>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</si>
  <si>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</si>
  <si>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</si>
  <si>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</si>
  <si>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</si>
  <si>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</si>
  <si>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</si>
  <si>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</si>
  <si>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</si>
  <si>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</si>
  <si>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</si>
  <si>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</si>
  <si>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</si>
  <si>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12026</t>
  </si>
  <si>
    <t>NIJLEN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</si>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</sst>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197907.15409514843</c:v>
                </c:pt>
                <c:pt idx="1">
                  <c:v>36890.313828043938</c:v>
                </c:pt>
                <c:pt idx="2">
                  <c:v>1185.482</c:v>
                </c:pt>
                <c:pt idx="3">
                  <c:v>3739.3754652184357</c:v>
                </c:pt>
                <c:pt idx="4">
                  <c:v>29241.56439550194</c:v>
                </c:pt>
                <c:pt idx="5">
                  <c:v>71611.11614236857</c:v>
                </c:pt>
                <c:pt idx="6">
                  <c:v>985.9816447558087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197907.15409514843</c:v>
                </c:pt>
                <c:pt idx="1">
                  <c:v>36890.313828043938</c:v>
                </c:pt>
                <c:pt idx="2">
                  <c:v>1185.482</c:v>
                </c:pt>
                <c:pt idx="3">
                  <c:v>3739.3754652184357</c:v>
                </c:pt>
                <c:pt idx="4">
                  <c:v>29241.56439550194</c:v>
                </c:pt>
                <c:pt idx="5">
                  <c:v>71611.11614236857</c:v>
                </c:pt>
                <c:pt idx="6">
                  <c:v>985.9816447558087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38868.388260540152</c:v>
                </c:pt>
                <c:pt idx="1">
                  <c:v>7070.3636373027857</c:v>
                </c:pt>
                <c:pt idx="2">
                  <c:v>236.057032338059</c:v>
                </c:pt>
                <c:pt idx="3">
                  <c:v>950.43194591582505</c:v>
                </c:pt>
                <c:pt idx="4">
                  <c:v>6113.7588795591382</c:v>
                </c:pt>
                <c:pt idx="5">
                  <c:v>17811.134354781741</c:v>
                </c:pt>
                <c:pt idx="6">
                  <c:v>248.48239583861462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38868.388260540152</c:v>
                </c:pt>
                <c:pt idx="1">
                  <c:v>7070.3636373027857</c:v>
                </c:pt>
                <c:pt idx="2">
                  <c:v>236.057032338059</c:v>
                </c:pt>
                <c:pt idx="3">
                  <c:v>950.43194591582505</c:v>
                </c:pt>
                <c:pt idx="4">
                  <c:v>6113.7588795591382</c:v>
                </c:pt>
                <c:pt idx="5">
                  <c:v>17811.134354781741</c:v>
                </c:pt>
                <c:pt idx="6">
                  <c:v>248.48239583861462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12026</v>
      </c>
      <c r="B6" s="386"/>
      <c r="C6" s="387"/>
    </row>
    <row r="7" spans="1:7" s="384" customFormat="1" ht="15.75" customHeight="1">
      <c r="A7" s="388" t="str">
        <f>txtMunicipality</f>
        <v>NIJLEN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15304.654265000003</v>
      </c>
      <c r="D10" s="681">
        <f ca="1">tertiair!C16</f>
        <v>0</v>
      </c>
      <c r="E10" s="681">
        <f ca="1">tertiair!D16</f>
        <v>18703.826063845998</v>
      </c>
      <c r="F10" s="681">
        <f>tertiair!E16</f>
        <v>172.67396001057605</v>
      </c>
      <c r="G10" s="681">
        <f ca="1">tertiair!F16</f>
        <v>1653.6331332470295</v>
      </c>
      <c r="H10" s="681">
        <f>tertiair!G16</f>
        <v>0</v>
      </c>
      <c r="I10" s="681">
        <f>tertiair!H16</f>
        <v>0</v>
      </c>
      <c r="J10" s="681">
        <f>tertiair!I16</f>
        <v>0</v>
      </c>
      <c r="K10" s="681">
        <f>tertiair!J16</f>
        <v>5.1481192805911603E-2</v>
      </c>
      <c r="L10" s="681">
        <f>tertiair!K16</f>
        <v>0</v>
      </c>
      <c r="M10" s="681">
        <f ca="1">tertiair!L16</f>
        <v>0</v>
      </c>
      <c r="N10" s="681">
        <f>tertiair!M16</f>
        <v>0</v>
      </c>
      <c r="O10" s="681">
        <f ca="1">tertiair!N16</f>
        <v>2021.0058499898626</v>
      </c>
      <c r="P10" s="681">
        <f>tertiair!O16</f>
        <v>9.7945215316823084</v>
      </c>
      <c r="Q10" s="682">
        <f>tertiair!P16</f>
        <v>210.15655322598008</v>
      </c>
      <c r="R10" s="684">
        <f ca="1">SUM(C10:Q10)</f>
        <v>38075.795828043942</v>
      </c>
      <c r="S10" s="67"/>
    </row>
    <row r="11" spans="1:19" s="444" customFormat="1">
      <c r="A11" s="802" t="s">
        <v>219</v>
      </c>
      <c r="B11" s="807"/>
      <c r="C11" s="681">
        <f>huishoudens!B8</f>
        <v>35656.696604807592</v>
      </c>
      <c r="D11" s="681">
        <f>huishoudens!C8</f>
        <v>0</v>
      </c>
      <c r="E11" s="681">
        <f>huishoudens!D8</f>
        <v>120621.42188360001</v>
      </c>
      <c r="F11" s="681">
        <f>huishoudens!E8</f>
        <v>1625.4867900643387</v>
      </c>
      <c r="G11" s="681">
        <f>huishoudens!F8</f>
        <v>26205.013514927912</v>
      </c>
      <c r="H11" s="681">
        <f>huishoudens!G8</f>
        <v>0</v>
      </c>
      <c r="I11" s="681">
        <f>huishoudens!H8</f>
        <v>0</v>
      </c>
      <c r="J11" s="681">
        <f>huishoudens!I8</f>
        <v>0</v>
      </c>
      <c r="K11" s="681">
        <f>huishoudens!J8</f>
        <v>104.68787366138493</v>
      </c>
      <c r="L11" s="681">
        <f>huishoudens!K8</f>
        <v>0</v>
      </c>
      <c r="M11" s="681">
        <f>huishoudens!L8</f>
        <v>0</v>
      </c>
      <c r="N11" s="681">
        <f>huishoudens!M8</f>
        <v>0</v>
      </c>
      <c r="O11" s="681">
        <f>huishoudens!N8</f>
        <v>12089.525280539874</v>
      </c>
      <c r="P11" s="681">
        <f>huishoudens!O8</f>
        <v>561.46017608653005</v>
      </c>
      <c r="Q11" s="682">
        <f>huishoudens!P8</f>
        <v>1042.8619714608171</v>
      </c>
      <c r="R11" s="684">
        <f>SUM(C11:Q11)</f>
        <v>197907.15409514843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6854.9625999999989</v>
      </c>
      <c r="D13" s="681">
        <f>industrie!C18</f>
        <v>0</v>
      </c>
      <c r="E13" s="681">
        <f>industrie!D18</f>
        <v>16179.149465600001</v>
      </c>
      <c r="F13" s="681">
        <f>industrie!E18</f>
        <v>1409.5450750790365</v>
      </c>
      <c r="G13" s="681">
        <f>industrie!F18</f>
        <v>4306.8603853754039</v>
      </c>
      <c r="H13" s="681">
        <f>industrie!G18</f>
        <v>0</v>
      </c>
      <c r="I13" s="681">
        <f>industrie!H18</f>
        <v>0</v>
      </c>
      <c r="J13" s="681">
        <f>industrie!I18</f>
        <v>0</v>
      </c>
      <c r="K13" s="681">
        <f>industrie!J18</f>
        <v>30.197117912339742</v>
      </c>
      <c r="L13" s="681">
        <f>industrie!K18</f>
        <v>0</v>
      </c>
      <c r="M13" s="681">
        <f>industrie!L18</f>
        <v>0</v>
      </c>
      <c r="N13" s="681">
        <f>industrie!M18</f>
        <v>0</v>
      </c>
      <c r="O13" s="681">
        <f>industrie!N18</f>
        <v>460.84975153516399</v>
      </c>
      <c r="P13" s="681">
        <f>industrie!O18</f>
        <v>0</v>
      </c>
      <c r="Q13" s="682">
        <f>industrie!P18</f>
        <v>0</v>
      </c>
      <c r="R13" s="684">
        <f>SUM(C13:Q13)</f>
        <v>29241.56439550194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57816.313469807596</v>
      </c>
      <c r="D16" s="717">
        <f t="shared" ref="D16:R16" ca="1" si="0">SUM(D9:D15)</f>
        <v>0</v>
      </c>
      <c r="E16" s="717">
        <f t="shared" ca="1" si="0"/>
        <v>155504.39741304601</v>
      </c>
      <c r="F16" s="717">
        <f t="shared" si="0"/>
        <v>3207.7058251539511</v>
      </c>
      <c r="G16" s="717">
        <f t="shared" ca="1" si="0"/>
        <v>32165.507033550344</v>
      </c>
      <c r="H16" s="717">
        <f t="shared" si="0"/>
        <v>0</v>
      </c>
      <c r="I16" s="717">
        <f t="shared" si="0"/>
        <v>0</v>
      </c>
      <c r="J16" s="717">
        <f t="shared" si="0"/>
        <v>0</v>
      </c>
      <c r="K16" s="717">
        <f t="shared" si="0"/>
        <v>134.93647276653058</v>
      </c>
      <c r="L16" s="717">
        <f t="shared" si="0"/>
        <v>0</v>
      </c>
      <c r="M16" s="717">
        <f t="shared" ca="1" si="0"/>
        <v>0</v>
      </c>
      <c r="N16" s="717">
        <f t="shared" si="0"/>
        <v>0</v>
      </c>
      <c r="O16" s="717">
        <f t="shared" ca="1" si="0"/>
        <v>14571.380882064901</v>
      </c>
      <c r="P16" s="717">
        <f t="shared" si="0"/>
        <v>571.25469761821239</v>
      </c>
      <c r="Q16" s="717">
        <f t="shared" si="0"/>
        <v>1253.0185246867973</v>
      </c>
      <c r="R16" s="717">
        <f t="shared" ca="1" si="0"/>
        <v>265224.5143186943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12.71421014173133</v>
      </c>
      <c r="D19" s="681">
        <f>transport!C54</f>
        <v>0</v>
      </c>
      <c r="E19" s="681">
        <f>transport!D54</f>
        <v>0</v>
      </c>
      <c r="F19" s="681">
        <f>transport!E54</f>
        <v>0</v>
      </c>
      <c r="G19" s="681">
        <f>transport!F54</f>
        <v>0</v>
      </c>
      <c r="H19" s="681">
        <f>transport!G54</f>
        <v>921.16367398698753</v>
      </c>
      <c r="I19" s="681">
        <f>transport!H54</f>
        <v>0</v>
      </c>
      <c r="J19" s="681">
        <f>transport!I54</f>
        <v>0</v>
      </c>
      <c r="K19" s="681">
        <f>transport!J54</f>
        <v>0</v>
      </c>
      <c r="L19" s="681">
        <f>transport!K54</f>
        <v>0</v>
      </c>
      <c r="M19" s="681">
        <f>transport!L54</f>
        <v>0</v>
      </c>
      <c r="N19" s="681">
        <f>transport!M54</f>
        <v>52.103760627089876</v>
      </c>
      <c r="O19" s="681">
        <f>transport!N54</f>
        <v>0</v>
      </c>
      <c r="P19" s="681">
        <f>transport!O54</f>
        <v>0</v>
      </c>
      <c r="Q19" s="682">
        <f>transport!P54</f>
        <v>0</v>
      </c>
      <c r="R19" s="684">
        <f>SUM(C19:Q19)</f>
        <v>985.9816447558087</v>
      </c>
      <c r="S19" s="67"/>
    </row>
    <row r="20" spans="1:19" s="444" customFormat="1">
      <c r="A20" s="802" t="s">
        <v>301</v>
      </c>
      <c r="B20" s="807"/>
      <c r="C20" s="681">
        <f>transport!B14</f>
        <v>80.104040944637219</v>
      </c>
      <c r="D20" s="681">
        <f>transport!C14</f>
        <v>0</v>
      </c>
      <c r="E20" s="681">
        <f>transport!D14</f>
        <v>140.80657152122703</v>
      </c>
      <c r="F20" s="681">
        <f>transport!E14</f>
        <v>122.30826283066553</v>
      </c>
      <c r="G20" s="681">
        <f>transport!F14</f>
        <v>0</v>
      </c>
      <c r="H20" s="681">
        <f>transport!G14</f>
        <v>54759.887037228931</v>
      </c>
      <c r="I20" s="681">
        <f>transport!H14</f>
        <v>12522.43789362238</v>
      </c>
      <c r="J20" s="681">
        <f>transport!I14</f>
        <v>0</v>
      </c>
      <c r="K20" s="681">
        <f>transport!J14</f>
        <v>0</v>
      </c>
      <c r="L20" s="681">
        <f>transport!K14</f>
        <v>0</v>
      </c>
      <c r="M20" s="681">
        <f>transport!L14</f>
        <v>0</v>
      </c>
      <c r="N20" s="681">
        <f>transport!M14</f>
        <v>3985.5723362207204</v>
      </c>
      <c r="O20" s="681">
        <f>transport!N14</f>
        <v>0</v>
      </c>
      <c r="P20" s="681">
        <f>transport!O14</f>
        <v>0</v>
      </c>
      <c r="Q20" s="682">
        <f>transport!P14</f>
        <v>0</v>
      </c>
      <c r="R20" s="684">
        <f>SUM(C20:Q20)</f>
        <v>71611.11614236857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92.818251086368548</v>
      </c>
      <c r="D22" s="805">
        <f t="shared" ref="D22:R22" si="1">SUM(D18:D21)</f>
        <v>0</v>
      </c>
      <c r="E22" s="805">
        <f t="shared" si="1"/>
        <v>140.80657152122703</v>
      </c>
      <c r="F22" s="805">
        <f t="shared" si="1"/>
        <v>122.30826283066553</v>
      </c>
      <c r="G22" s="805">
        <f t="shared" si="1"/>
        <v>0</v>
      </c>
      <c r="H22" s="805">
        <f t="shared" si="1"/>
        <v>55681.050711215918</v>
      </c>
      <c r="I22" s="805">
        <f t="shared" si="1"/>
        <v>12522.43789362238</v>
      </c>
      <c r="J22" s="805">
        <f t="shared" si="1"/>
        <v>0</v>
      </c>
      <c r="K22" s="805">
        <f t="shared" si="1"/>
        <v>0</v>
      </c>
      <c r="L22" s="805">
        <f t="shared" si="1"/>
        <v>0</v>
      </c>
      <c r="M22" s="805">
        <f t="shared" si="1"/>
        <v>0</v>
      </c>
      <c r="N22" s="805">
        <f t="shared" si="1"/>
        <v>4037.6760968478102</v>
      </c>
      <c r="O22" s="805">
        <f t="shared" si="1"/>
        <v>0</v>
      </c>
      <c r="P22" s="805">
        <f t="shared" si="1"/>
        <v>0</v>
      </c>
      <c r="Q22" s="805">
        <f t="shared" si="1"/>
        <v>0</v>
      </c>
      <c r="R22" s="805">
        <f t="shared" si="1"/>
        <v>72597.097787124381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723.85799999999995</v>
      </c>
      <c r="D24" s="681">
        <f>+landbouw!C8</f>
        <v>0</v>
      </c>
      <c r="E24" s="681">
        <f>+landbouw!D8</f>
        <v>235.30383800000004</v>
      </c>
      <c r="F24" s="681">
        <f>+landbouw!E8</f>
        <v>22.591369481079383</v>
      </c>
      <c r="G24" s="681">
        <f>+landbouw!F8</f>
        <v>2558.1943588261206</v>
      </c>
      <c r="H24" s="681">
        <f>+landbouw!G8</f>
        <v>0</v>
      </c>
      <c r="I24" s="681">
        <f>+landbouw!H8</f>
        <v>0</v>
      </c>
      <c r="J24" s="681">
        <f>+landbouw!I8</f>
        <v>0</v>
      </c>
      <c r="K24" s="681">
        <f>+landbouw!J8</f>
        <v>199.42789891123581</v>
      </c>
      <c r="L24" s="681">
        <f>+landbouw!K8</f>
        <v>0</v>
      </c>
      <c r="M24" s="681">
        <f>+landbouw!L8</f>
        <v>0</v>
      </c>
      <c r="N24" s="681">
        <f>+landbouw!M8</f>
        <v>0</v>
      </c>
      <c r="O24" s="681">
        <f>+landbouw!N8</f>
        <v>0</v>
      </c>
      <c r="P24" s="681">
        <f>+landbouw!O8</f>
        <v>0</v>
      </c>
      <c r="Q24" s="682">
        <f>+landbouw!P8</f>
        <v>0</v>
      </c>
      <c r="R24" s="684">
        <f>SUM(C24:Q24)</f>
        <v>3739.3754652184357</v>
      </c>
      <c r="S24" s="67"/>
    </row>
    <row r="25" spans="1:19" s="444" customFormat="1" ht="15" thickBot="1">
      <c r="A25" s="824" t="s">
        <v>714</v>
      </c>
      <c r="B25" s="943"/>
      <c r="C25" s="944">
        <f>IF(Onbekend_ele_kWh="---",0,Onbekend_ele_kWh)/1000+IF(REST_rest_ele_kWh="---",0,REST_rest_ele_kWh)/1000</f>
        <v>912.94990000000007</v>
      </c>
      <c r="D25" s="944"/>
      <c r="E25" s="944">
        <f>IF(onbekend_gas_kWh="---",0,onbekend_gas_kWh)/1000+IF(REST_rest_gas_kWh="---",0,REST_rest_gas_kWh)/1000</f>
        <v>2537.4503999999997</v>
      </c>
      <c r="F25" s="944"/>
      <c r="G25" s="944"/>
      <c r="H25" s="944"/>
      <c r="I25" s="944"/>
      <c r="J25" s="944"/>
      <c r="K25" s="944"/>
      <c r="L25" s="944"/>
      <c r="M25" s="944"/>
      <c r="N25" s="944"/>
      <c r="O25" s="944"/>
      <c r="P25" s="944"/>
      <c r="Q25" s="945"/>
      <c r="R25" s="684">
        <f>SUM(C25:Q25)</f>
        <v>3450.4002999999998</v>
      </c>
      <c r="S25" s="67"/>
    </row>
    <row r="26" spans="1:19" s="444" customFormat="1" ht="15.75" thickBot="1">
      <c r="A26" s="689" t="s">
        <v>715</v>
      </c>
      <c r="B26" s="810"/>
      <c r="C26" s="805">
        <f>SUM(C24:C25)</f>
        <v>1636.8079</v>
      </c>
      <c r="D26" s="805">
        <f t="shared" ref="D26:R26" si="2">SUM(D24:D25)</f>
        <v>0</v>
      </c>
      <c r="E26" s="805">
        <f t="shared" si="2"/>
        <v>2772.7542379999995</v>
      </c>
      <c r="F26" s="805">
        <f t="shared" si="2"/>
        <v>22.591369481079383</v>
      </c>
      <c r="G26" s="805">
        <f t="shared" si="2"/>
        <v>2558.1943588261206</v>
      </c>
      <c r="H26" s="805">
        <f t="shared" si="2"/>
        <v>0</v>
      </c>
      <c r="I26" s="805">
        <f t="shared" si="2"/>
        <v>0</v>
      </c>
      <c r="J26" s="805">
        <f t="shared" si="2"/>
        <v>0</v>
      </c>
      <c r="K26" s="805">
        <f t="shared" si="2"/>
        <v>199.42789891123581</v>
      </c>
      <c r="L26" s="805">
        <f t="shared" si="2"/>
        <v>0</v>
      </c>
      <c r="M26" s="805">
        <f t="shared" si="2"/>
        <v>0</v>
      </c>
      <c r="N26" s="805">
        <f t="shared" si="2"/>
        <v>0</v>
      </c>
      <c r="O26" s="805">
        <f t="shared" si="2"/>
        <v>0</v>
      </c>
      <c r="P26" s="805">
        <f t="shared" si="2"/>
        <v>0</v>
      </c>
      <c r="Q26" s="805">
        <f t="shared" si="2"/>
        <v>0</v>
      </c>
      <c r="R26" s="805">
        <f t="shared" si="2"/>
        <v>7189.7757652184355</v>
      </c>
      <c r="S26" s="67"/>
    </row>
    <row r="27" spans="1:19" s="444" customFormat="1" ht="17.25" thickTop="1" thickBot="1">
      <c r="A27" s="690" t="s">
        <v>115</v>
      </c>
      <c r="B27" s="797"/>
      <c r="C27" s="691">
        <f ca="1">C22+C16+C26</f>
        <v>59545.939620893965</v>
      </c>
      <c r="D27" s="691">
        <f t="shared" ref="D27:R27" ca="1" si="3">D22+D16+D26</f>
        <v>0</v>
      </c>
      <c r="E27" s="691">
        <f t="shared" ca="1" si="3"/>
        <v>158417.95822256722</v>
      </c>
      <c r="F27" s="691">
        <f t="shared" si="3"/>
        <v>3352.605457465696</v>
      </c>
      <c r="G27" s="691">
        <f t="shared" ca="1" si="3"/>
        <v>34723.701392376468</v>
      </c>
      <c r="H27" s="691">
        <f t="shared" si="3"/>
        <v>55681.050711215918</v>
      </c>
      <c r="I27" s="691">
        <f t="shared" si="3"/>
        <v>12522.43789362238</v>
      </c>
      <c r="J27" s="691">
        <f t="shared" si="3"/>
        <v>0</v>
      </c>
      <c r="K27" s="691">
        <f t="shared" si="3"/>
        <v>334.36437167776637</v>
      </c>
      <c r="L27" s="691">
        <f t="shared" si="3"/>
        <v>0</v>
      </c>
      <c r="M27" s="691">
        <f t="shared" ca="1" si="3"/>
        <v>0</v>
      </c>
      <c r="N27" s="691">
        <f t="shared" si="3"/>
        <v>4037.6760968478102</v>
      </c>
      <c r="O27" s="691">
        <f t="shared" ca="1" si="3"/>
        <v>14571.380882064901</v>
      </c>
      <c r="P27" s="691">
        <f t="shared" si="3"/>
        <v>571.25469761821239</v>
      </c>
      <c r="Q27" s="691">
        <f t="shared" si="3"/>
        <v>1253.0185246867973</v>
      </c>
      <c r="R27" s="691">
        <f t="shared" ca="1" si="3"/>
        <v>345011.38787103712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3047.5125449023421</v>
      </c>
      <c r="D40" s="681">
        <f ca="1">tertiair!C20</f>
        <v>0</v>
      </c>
      <c r="E40" s="681">
        <f ca="1">tertiair!D20</f>
        <v>3778.172864896892</v>
      </c>
      <c r="F40" s="681">
        <f>tertiair!E20</f>
        <v>39.196988922400763</v>
      </c>
      <c r="G40" s="681">
        <f ca="1">tertiair!F20</f>
        <v>441.52004657695687</v>
      </c>
      <c r="H40" s="681">
        <f>tertiair!G20</f>
        <v>0</v>
      </c>
      <c r="I40" s="681">
        <f>tertiair!H20</f>
        <v>0</v>
      </c>
      <c r="J40" s="681">
        <f>tertiair!I20</f>
        <v>0</v>
      </c>
      <c r="K40" s="681">
        <f>tertiair!J20</f>
        <v>1.8224342253292707E-2</v>
      </c>
      <c r="L40" s="681">
        <f>tertiair!K20</f>
        <v>0</v>
      </c>
      <c r="M40" s="681">
        <f ca="1">tertiair!L20</f>
        <v>0</v>
      </c>
      <c r="N40" s="681">
        <f>tertiair!M20</f>
        <v>0</v>
      </c>
      <c r="O40" s="681">
        <f ca="1">tertiair!N20</f>
        <v>0</v>
      </c>
      <c r="P40" s="681">
        <f>tertiair!O20</f>
        <v>0</v>
      </c>
      <c r="Q40" s="764">
        <f>tertiair!P20</f>
        <v>0</v>
      </c>
      <c r="R40" s="843">
        <f t="shared" ca="1" si="4"/>
        <v>7306.4206696408455</v>
      </c>
    </row>
    <row r="41" spans="1:18">
      <c r="A41" s="815" t="s">
        <v>219</v>
      </c>
      <c r="B41" s="822"/>
      <c r="C41" s="681">
        <f ca="1">huishoudens!B12</f>
        <v>7100.0774229464678</v>
      </c>
      <c r="D41" s="681">
        <f ca="1">huishoudens!C12</f>
        <v>0</v>
      </c>
      <c r="E41" s="681">
        <f>huishoudens!D12</f>
        <v>24365.527220487202</v>
      </c>
      <c r="F41" s="681">
        <f>huishoudens!E12</f>
        <v>368.98550134460493</v>
      </c>
      <c r="G41" s="681">
        <f>huishoudens!F12</f>
        <v>6996.7386084857526</v>
      </c>
      <c r="H41" s="681">
        <f>huishoudens!G12</f>
        <v>0</v>
      </c>
      <c r="I41" s="681">
        <f>huishoudens!H12</f>
        <v>0</v>
      </c>
      <c r="J41" s="681">
        <f>huishoudens!I12</f>
        <v>0</v>
      </c>
      <c r="K41" s="681">
        <f>huishoudens!J12</f>
        <v>37.059507276130262</v>
      </c>
      <c r="L41" s="681">
        <f>huishoudens!K12</f>
        <v>0</v>
      </c>
      <c r="M41" s="681">
        <f>huishoudens!L12</f>
        <v>0</v>
      </c>
      <c r="N41" s="681">
        <f>huishoudens!M12</f>
        <v>0</v>
      </c>
      <c r="O41" s="681">
        <f>huishoudens!N12</f>
        <v>0</v>
      </c>
      <c r="P41" s="681">
        <f>huishoudens!O12</f>
        <v>0</v>
      </c>
      <c r="Q41" s="764">
        <f>huishoudens!P12</f>
        <v>0</v>
      </c>
      <c r="R41" s="843">
        <f t="shared" ca="1" si="4"/>
        <v>38868.388260540152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1364.9824528287943</v>
      </c>
      <c r="D43" s="681">
        <f ca="1">industrie!C22</f>
        <v>0</v>
      </c>
      <c r="E43" s="681">
        <f>industrie!D22</f>
        <v>3268.1881920512005</v>
      </c>
      <c r="F43" s="681">
        <f>industrie!E22</f>
        <v>319.96673204294126</v>
      </c>
      <c r="G43" s="681">
        <f>industrie!F22</f>
        <v>1149.931722895233</v>
      </c>
      <c r="H43" s="681">
        <f>industrie!G22</f>
        <v>0</v>
      </c>
      <c r="I43" s="681">
        <f>industrie!H22</f>
        <v>0</v>
      </c>
      <c r="J43" s="681">
        <f>industrie!I22</f>
        <v>0</v>
      </c>
      <c r="K43" s="681">
        <f>industrie!J22</f>
        <v>10.689779740968268</v>
      </c>
      <c r="L43" s="681">
        <f>industrie!K22</f>
        <v>0</v>
      </c>
      <c r="M43" s="681">
        <f>industrie!L22</f>
        <v>0</v>
      </c>
      <c r="N43" s="681">
        <f>industrie!M22</f>
        <v>0</v>
      </c>
      <c r="O43" s="681">
        <f>industrie!N22</f>
        <v>0</v>
      </c>
      <c r="P43" s="681">
        <f>industrie!O22</f>
        <v>0</v>
      </c>
      <c r="Q43" s="764">
        <f>industrie!P22</f>
        <v>0</v>
      </c>
      <c r="R43" s="842">
        <f t="shared" ca="1" si="4"/>
        <v>6113.7588795591382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11512.572420677603</v>
      </c>
      <c r="D46" s="717">
        <f t="shared" ref="D46:Q46" ca="1" si="5">SUM(D39:D45)</f>
        <v>0</v>
      </c>
      <c r="E46" s="717">
        <f t="shared" ca="1" si="5"/>
        <v>31411.888277435297</v>
      </c>
      <c r="F46" s="717">
        <f t="shared" si="5"/>
        <v>728.14922230994694</v>
      </c>
      <c r="G46" s="717">
        <f t="shared" ca="1" si="5"/>
        <v>8588.1903779579425</v>
      </c>
      <c r="H46" s="717">
        <f t="shared" si="5"/>
        <v>0</v>
      </c>
      <c r="I46" s="717">
        <f t="shared" si="5"/>
        <v>0</v>
      </c>
      <c r="J46" s="717">
        <f t="shared" si="5"/>
        <v>0</v>
      </c>
      <c r="K46" s="717">
        <f t="shared" si="5"/>
        <v>47.767511359351822</v>
      </c>
      <c r="L46" s="717">
        <f t="shared" si="5"/>
        <v>0</v>
      </c>
      <c r="M46" s="717">
        <f t="shared" ca="1" si="5"/>
        <v>0</v>
      </c>
      <c r="N46" s="717">
        <f t="shared" si="5"/>
        <v>0</v>
      </c>
      <c r="O46" s="717">
        <f t="shared" ca="1" si="5"/>
        <v>0</v>
      </c>
      <c r="P46" s="717">
        <f t="shared" si="5"/>
        <v>0</v>
      </c>
      <c r="Q46" s="717">
        <f t="shared" si="5"/>
        <v>0</v>
      </c>
      <c r="R46" s="717">
        <f ca="1">SUM(R39:R45)</f>
        <v>52288.567809740132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2.5316948840889615</v>
      </c>
      <c r="D49" s="681">
        <f ca="1">transport!C58</f>
        <v>0</v>
      </c>
      <c r="E49" s="681">
        <f>transport!D58</f>
        <v>0</v>
      </c>
      <c r="F49" s="681">
        <f>transport!E58</f>
        <v>0</v>
      </c>
      <c r="G49" s="681">
        <f>transport!F58</f>
        <v>0</v>
      </c>
      <c r="H49" s="681">
        <f>transport!G58</f>
        <v>245.95070095452567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248.48239583861462</v>
      </c>
    </row>
    <row r="50" spans="1:18">
      <c r="A50" s="818" t="s">
        <v>301</v>
      </c>
      <c r="B50" s="828"/>
      <c r="C50" s="687">
        <f ca="1">transport!B18</f>
        <v>15.950577219795349</v>
      </c>
      <c r="D50" s="687">
        <f>transport!C18</f>
        <v>0</v>
      </c>
      <c r="E50" s="687">
        <f>transport!D18</f>
        <v>28.442927447287861</v>
      </c>
      <c r="F50" s="687">
        <f>transport!E18</f>
        <v>27.763975662561077</v>
      </c>
      <c r="G50" s="687">
        <f>transport!F18</f>
        <v>0</v>
      </c>
      <c r="H50" s="687">
        <f>transport!G18</f>
        <v>14620.889838940126</v>
      </c>
      <c r="I50" s="687">
        <f>transport!H18</f>
        <v>3118.0870355119728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17811.134354781741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18.482272103884309</v>
      </c>
      <c r="D52" s="717">
        <f t="shared" ref="D52:Q52" ca="1" si="6">SUM(D48:D51)</f>
        <v>0</v>
      </c>
      <c r="E52" s="717">
        <f t="shared" si="6"/>
        <v>28.442927447287861</v>
      </c>
      <c r="F52" s="717">
        <f t="shared" si="6"/>
        <v>27.763975662561077</v>
      </c>
      <c r="G52" s="717">
        <f t="shared" si="6"/>
        <v>0</v>
      </c>
      <c r="H52" s="717">
        <f t="shared" si="6"/>
        <v>14866.840539894651</v>
      </c>
      <c r="I52" s="717">
        <f t="shared" si="6"/>
        <v>3118.0870355119728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18059.616750620356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144.13695974646828</v>
      </c>
      <c r="D54" s="687">
        <f ca="1">+landbouw!C12</f>
        <v>0</v>
      </c>
      <c r="E54" s="687">
        <f>+landbouw!D12</f>
        <v>47.531375276000013</v>
      </c>
      <c r="F54" s="687">
        <f>+landbouw!E12</f>
        <v>5.1282408722050201</v>
      </c>
      <c r="G54" s="687">
        <f>+landbouw!F12</f>
        <v>683.03789380657429</v>
      </c>
      <c r="H54" s="687">
        <f>+landbouw!G12</f>
        <v>0</v>
      </c>
      <c r="I54" s="687">
        <f>+landbouw!H12</f>
        <v>0</v>
      </c>
      <c r="J54" s="687">
        <f>+landbouw!I12</f>
        <v>0</v>
      </c>
      <c r="K54" s="687">
        <f>+landbouw!J12</f>
        <v>70.597476214577469</v>
      </c>
      <c r="L54" s="687">
        <f>+landbouw!K12</f>
        <v>0</v>
      </c>
      <c r="M54" s="687">
        <f>+landbouw!L12</f>
        <v>0</v>
      </c>
      <c r="N54" s="687">
        <f>+landbouw!M12</f>
        <v>0</v>
      </c>
      <c r="O54" s="687">
        <f>+landbouw!N12</f>
        <v>0</v>
      </c>
      <c r="P54" s="687">
        <f>+landbouw!O12</f>
        <v>0</v>
      </c>
      <c r="Q54" s="688">
        <f>+landbouw!P12</f>
        <v>0</v>
      </c>
      <c r="R54" s="716">
        <f ca="1">SUM(C54:Q54)</f>
        <v>950.43194591582505</v>
      </c>
    </row>
    <row r="55" spans="1:18" ht="15" thickBot="1">
      <c r="A55" s="818" t="s">
        <v>714</v>
      </c>
      <c r="B55" s="828"/>
      <c r="C55" s="687">
        <f ca="1">C25*'EF ele_warmte'!B12</f>
        <v>181.7895540103753</v>
      </c>
      <c r="D55" s="687"/>
      <c r="E55" s="687">
        <f>E25*EF_CO2_aardgas</f>
        <v>512.56498079999994</v>
      </c>
      <c r="F55" s="687"/>
      <c r="G55" s="687"/>
      <c r="H55" s="687"/>
      <c r="I55" s="687"/>
      <c r="J55" s="687"/>
      <c r="K55" s="687"/>
      <c r="L55" s="687"/>
      <c r="M55" s="687"/>
      <c r="N55" s="687"/>
      <c r="O55" s="687"/>
      <c r="P55" s="687"/>
      <c r="Q55" s="688"/>
      <c r="R55" s="716">
        <f ca="1">SUM(C55:Q55)</f>
        <v>694.3545348103753</v>
      </c>
    </row>
    <row r="56" spans="1:18" ht="15.75" thickBot="1">
      <c r="A56" s="816" t="s">
        <v>715</v>
      </c>
      <c r="B56" s="829"/>
      <c r="C56" s="717">
        <f ca="1">SUM(C54:C55)</f>
        <v>325.92651375684358</v>
      </c>
      <c r="D56" s="717">
        <f t="shared" ref="D56:Q56" ca="1" si="7">SUM(D54:D55)</f>
        <v>0</v>
      </c>
      <c r="E56" s="717">
        <f t="shared" si="7"/>
        <v>560.09635607600001</v>
      </c>
      <c r="F56" s="717">
        <f t="shared" si="7"/>
        <v>5.1282408722050201</v>
      </c>
      <c r="G56" s="717">
        <f t="shared" si="7"/>
        <v>683.03789380657429</v>
      </c>
      <c r="H56" s="717">
        <f t="shared" si="7"/>
        <v>0</v>
      </c>
      <c r="I56" s="717">
        <f t="shared" si="7"/>
        <v>0</v>
      </c>
      <c r="J56" s="717">
        <f t="shared" si="7"/>
        <v>0</v>
      </c>
      <c r="K56" s="717">
        <f t="shared" si="7"/>
        <v>70.597476214577469</v>
      </c>
      <c r="L56" s="717">
        <f t="shared" si="7"/>
        <v>0</v>
      </c>
      <c r="M56" s="717">
        <f t="shared" si="7"/>
        <v>0</v>
      </c>
      <c r="N56" s="717">
        <f t="shared" si="7"/>
        <v>0</v>
      </c>
      <c r="O56" s="717">
        <f t="shared" si="7"/>
        <v>0</v>
      </c>
      <c r="P56" s="717">
        <f t="shared" si="7"/>
        <v>0</v>
      </c>
      <c r="Q56" s="718">
        <f t="shared" si="7"/>
        <v>0</v>
      </c>
      <c r="R56" s="719">
        <f ca="1">SUM(R54:R55)</f>
        <v>1644.7864807262004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11856.98120653833</v>
      </c>
      <c r="D61" s="725">
        <f t="shared" ref="D61:Q61" ca="1" si="8">D46+D52+D56</f>
        <v>0</v>
      </c>
      <c r="E61" s="725">
        <f t="shared" ca="1" si="8"/>
        <v>32000.427560958586</v>
      </c>
      <c r="F61" s="725">
        <f t="shared" si="8"/>
        <v>761.04143884471296</v>
      </c>
      <c r="G61" s="725">
        <f t="shared" ca="1" si="8"/>
        <v>9271.2282717645176</v>
      </c>
      <c r="H61" s="725">
        <f t="shared" si="8"/>
        <v>14866.840539894651</v>
      </c>
      <c r="I61" s="725">
        <f t="shared" si="8"/>
        <v>3118.0870355119728</v>
      </c>
      <c r="J61" s="725">
        <f t="shared" si="8"/>
        <v>0</v>
      </c>
      <c r="K61" s="725">
        <f t="shared" si="8"/>
        <v>118.36498757392928</v>
      </c>
      <c r="L61" s="725">
        <f t="shared" si="8"/>
        <v>0</v>
      </c>
      <c r="M61" s="725">
        <f t="shared" ca="1" si="8"/>
        <v>0</v>
      </c>
      <c r="N61" s="725">
        <f t="shared" si="8"/>
        <v>0</v>
      </c>
      <c r="O61" s="725">
        <f t="shared" ca="1" si="8"/>
        <v>0</v>
      </c>
      <c r="P61" s="725">
        <f t="shared" si="8"/>
        <v>0</v>
      </c>
      <c r="Q61" s="725">
        <f t="shared" si="8"/>
        <v>0</v>
      </c>
      <c r="R61" s="725">
        <f ca="1">R46+R52+R56</f>
        <v>71992.971041086683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0.19912325310553763</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5894.4409487748189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5894.4409487748189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35656.696604807592</v>
      </c>
      <c r="C4" s="448">
        <f>huishoudens!C8</f>
        <v>0</v>
      </c>
      <c r="D4" s="448">
        <f>huishoudens!D8</f>
        <v>120621.42188360001</v>
      </c>
      <c r="E4" s="448">
        <f>huishoudens!E8</f>
        <v>1625.4867900643387</v>
      </c>
      <c r="F4" s="448">
        <f>huishoudens!F8</f>
        <v>26205.013514927912</v>
      </c>
      <c r="G4" s="448">
        <f>huishoudens!G8</f>
        <v>0</v>
      </c>
      <c r="H4" s="448">
        <f>huishoudens!H8</f>
        <v>0</v>
      </c>
      <c r="I4" s="448">
        <f>huishoudens!I8</f>
        <v>0</v>
      </c>
      <c r="J4" s="448">
        <f>huishoudens!J8</f>
        <v>104.68787366138493</v>
      </c>
      <c r="K4" s="448">
        <f>huishoudens!K8</f>
        <v>0</v>
      </c>
      <c r="L4" s="448">
        <f>huishoudens!L8</f>
        <v>0</v>
      </c>
      <c r="M4" s="448">
        <f>huishoudens!M8</f>
        <v>0</v>
      </c>
      <c r="N4" s="448">
        <f>huishoudens!N8</f>
        <v>12089.525280539874</v>
      </c>
      <c r="O4" s="448">
        <f>huishoudens!O8</f>
        <v>561.46017608653005</v>
      </c>
      <c r="P4" s="449">
        <f>huishoudens!P8</f>
        <v>1042.8619714608171</v>
      </c>
      <c r="Q4" s="450">
        <f>SUM(B4:P4)</f>
        <v>197907.15409514843</v>
      </c>
    </row>
    <row r="5" spans="1:17">
      <c r="A5" s="447" t="s">
        <v>155</v>
      </c>
      <c r="B5" s="448">
        <f ca="1">tertiair!B16</f>
        <v>14119.172265000003</v>
      </c>
      <c r="C5" s="448">
        <f ca="1">tertiair!C16</f>
        <v>0</v>
      </c>
      <c r="D5" s="448">
        <f ca="1">tertiair!D16</f>
        <v>18703.826063845998</v>
      </c>
      <c r="E5" s="448">
        <f>tertiair!E16</f>
        <v>172.67396001057605</v>
      </c>
      <c r="F5" s="448">
        <f ca="1">tertiair!F16</f>
        <v>1653.6331332470295</v>
      </c>
      <c r="G5" s="448">
        <f>tertiair!G16</f>
        <v>0</v>
      </c>
      <c r="H5" s="448">
        <f>tertiair!H16</f>
        <v>0</v>
      </c>
      <c r="I5" s="448">
        <f>tertiair!I16</f>
        <v>0</v>
      </c>
      <c r="J5" s="448">
        <f>tertiair!J16</f>
        <v>5.1481192805911603E-2</v>
      </c>
      <c r="K5" s="448">
        <f>tertiair!K16</f>
        <v>0</v>
      </c>
      <c r="L5" s="448">
        <f ca="1">tertiair!L16</f>
        <v>0</v>
      </c>
      <c r="M5" s="448">
        <f>tertiair!M16</f>
        <v>0</v>
      </c>
      <c r="N5" s="448">
        <f ca="1">tertiair!N16</f>
        <v>2021.0058499898626</v>
      </c>
      <c r="O5" s="448">
        <f>tertiair!O16</f>
        <v>9.7945215316823084</v>
      </c>
      <c r="P5" s="449">
        <f>tertiair!P16</f>
        <v>210.15655322598008</v>
      </c>
      <c r="Q5" s="447">
        <f t="shared" ref="Q5:Q14" ca="1" si="0">SUM(B5:P5)</f>
        <v>36890.313828043938</v>
      </c>
    </row>
    <row r="6" spans="1:17">
      <c r="A6" s="447" t="s">
        <v>193</v>
      </c>
      <c r="B6" s="448">
        <f>'openbare verlichting'!B8</f>
        <v>1185.482</v>
      </c>
      <c r="C6" s="448"/>
      <c r="D6" s="448"/>
      <c r="E6" s="448"/>
      <c r="F6" s="448"/>
      <c r="G6" s="448"/>
      <c r="H6" s="448"/>
      <c r="I6" s="448"/>
      <c r="J6" s="448"/>
      <c r="K6" s="448"/>
      <c r="L6" s="448"/>
      <c r="M6" s="448"/>
      <c r="N6" s="448"/>
      <c r="O6" s="448"/>
      <c r="P6" s="449"/>
      <c r="Q6" s="447">
        <f t="shared" si="0"/>
        <v>1185.482</v>
      </c>
    </row>
    <row r="7" spans="1:17">
      <c r="A7" s="447" t="s">
        <v>111</v>
      </c>
      <c r="B7" s="448">
        <f>landbouw!B8</f>
        <v>723.85799999999995</v>
      </c>
      <c r="C7" s="448">
        <f>landbouw!C8</f>
        <v>0</v>
      </c>
      <c r="D7" s="448">
        <f>landbouw!D8</f>
        <v>235.30383800000004</v>
      </c>
      <c r="E7" s="448">
        <f>landbouw!E8</f>
        <v>22.591369481079383</v>
      </c>
      <c r="F7" s="448">
        <f>landbouw!F8</f>
        <v>2558.1943588261206</v>
      </c>
      <c r="G7" s="448">
        <f>landbouw!G8</f>
        <v>0</v>
      </c>
      <c r="H7" s="448">
        <f>landbouw!H8</f>
        <v>0</v>
      </c>
      <c r="I7" s="448">
        <f>landbouw!I8</f>
        <v>0</v>
      </c>
      <c r="J7" s="448">
        <f>landbouw!J8</f>
        <v>199.42789891123581</v>
      </c>
      <c r="K7" s="448">
        <f>landbouw!K8</f>
        <v>0</v>
      </c>
      <c r="L7" s="448">
        <f>landbouw!L8</f>
        <v>0</v>
      </c>
      <c r="M7" s="448">
        <f>landbouw!M8</f>
        <v>0</v>
      </c>
      <c r="N7" s="448">
        <f>landbouw!N8</f>
        <v>0</v>
      </c>
      <c r="O7" s="448">
        <f>landbouw!O8</f>
        <v>0</v>
      </c>
      <c r="P7" s="449">
        <f>landbouw!P8</f>
        <v>0</v>
      </c>
      <c r="Q7" s="447">
        <f t="shared" si="0"/>
        <v>3739.3754652184357</v>
      </c>
    </row>
    <row r="8" spans="1:17">
      <c r="A8" s="447" t="s">
        <v>618</v>
      </c>
      <c r="B8" s="448">
        <f>industrie!B18</f>
        <v>6854.9625999999989</v>
      </c>
      <c r="C8" s="448">
        <f>industrie!C18</f>
        <v>0</v>
      </c>
      <c r="D8" s="448">
        <f>industrie!D18</f>
        <v>16179.149465600001</v>
      </c>
      <c r="E8" s="448">
        <f>industrie!E18</f>
        <v>1409.5450750790365</v>
      </c>
      <c r="F8" s="448">
        <f>industrie!F18</f>
        <v>4306.8603853754039</v>
      </c>
      <c r="G8" s="448">
        <f>industrie!G18</f>
        <v>0</v>
      </c>
      <c r="H8" s="448">
        <f>industrie!H18</f>
        <v>0</v>
      </c>
      <c r="I8" s="448">
        <f>industrie!I18</f>
        <v>0</v>
      </c>
      <c r="J8" s="448">
        <f>industrie!J18</f>
        <v>30.197117912339742</v>
      </c>
      <c r="K8" s="448">
        <f>industrie!K18</f>
        <v>0</v>
      </c>
      <c r="L8" s="448">
        <f>industrie!L18</f>
        <v>0</v>
      </c>
      <c r="M8" s="448">
        <f>industrie!M18</f>
        <v>0</v>
      </c>
      <c r="N8" s="448">
        <f>industrie!N18</f>
        <v>460.84975153516399</v>
      </c>
      <c r="O8" s="448">
        <f>industrie!O18</f>
        <v>0</v>
      </c>
      <c r="P8" s="449">
        <f>industrie!P18</f>
        <v>0</v>
      </c>
      <c r="Q8" s="447">
        <f t="shared" si="0"/>
        <v>29241.56439550194</v>
      </c>
    </row>
    <row r="9" spans="1:17" s="453" customFormat="1">
      <c r="A9" s="451" t="s">
        <v>544</v>
      </c>
      <c r="B9" s="452">
        <f>transport!B14</f>
        <v>80.104040944637219</v>
      </c>
      <c r="C9" s="452">
        <f>transport!C14</f>
        <v>0</v>
      </c>
      <c r="D9" s="452">
        <f>transport!D14</f>
        <v>140.80657152122703</v>
      </c>
      <c r="E9" s="452">
        <f>transport!E14</f>
        <v>122.30826283066553</v>
      </c>
      <c r="F9" s="452">
        <f>transport!F14</f>
        <v>0</v>
      </c>
      <c r="G9" s="452">
        <f>transport!G14</f>
        <v>54759.887037228931</v>
      </c>
      <c r="H9" s="452">
        <f>transport!H14</f>
        <v>12522.43789362238</v>
      </c>
      <c r="I9" s="452">
        <f>transport!I14</f>
        <v>0</v>
      </c>
      <c r="J9" s="452">
        <f>transport!J14</f>
        <v>0</v>
      </c>
      <c r="K9" s="452">
        <f>transport!K14</f>
        <v>0</v>
      </c>
      <c r="L9" s="452">
        <f>transport!L14</f>
        <v>0</v>
      </c>
      <c r="M9" s="452">
        <f>transport!M14</f>
        <v>3985.5723362207204</v>
      </c>
      <c r="N9" s="452">
        <f>transport!N14</f>
        <v>0</v>
      </c>
      <c r="O9" s="452">
        <f>transport!O14</f>
        <v>0</v>
      </c>
      <c r="P9" s="452">
        <f>transport!P14</f>
        <v>0</v>
      </c>
      <c r="Q9" s="451">
        <f>SUM(B9:P9)</f>
        <v>71611.11614236857</v>
      </c>
    </row>
    <row r="10" spans="1:17">
      <c r="A10" s="447" t="s">
        <v>534</v>
      </c>
      <c r="B10" s="448">
        <f>transport!B54</f>
        <v>12.71421014173133</v>
      </c>
      <c r="C10" s="448">
        <f>transport!C54</f>
        <v>0</v>
      </c>
      <c r="D10" s="448">
        <f>transport!D54</f>
        <v>0</v>
      </c>
      <c r="E10" s="448">
        <f>transport!E54</f>
        <v>0</v>
      </c>
      <c r="F10" s="448">
        <f>transport!F54</f>
        <v>0</v>
      </c>
      <c r="G10" s="448">
        <f>transport!G54</f>
        <v>921.16367398698753</v>
      </c>
      <c r="H10" s="448">
        <f>transport!H54</f>
        <v>0</v>
      </c>
      <c r="I10" s="448">
        <f>transport!I54</f>
        <v>0</v>
      </c>
      <c r="J10" s="448">
        <f>transport!J54</f>
        <v>0</v>
      </c>
      <c r="K10" s="448">
        <f>transport!K54</f>
        <v>0</v>
      </c>
      <c r="L10" s="448">
        <f>transport!L54</f>
        <v>0</v>
      </c>
      <c r="M10" s="448">
        <f>transport!M54</f>
        <v>52.103760627089876</v>
      </c>
      <c r="N10" s="448">
        <f>transport!N54</f>
        <v>0</v>
      </c>
      <c r="O10" s="448">
        <f>transport!O54</f>
        <v>0</v>
      </c>
      <c r="P10" s="449">
        <f>transport!P54</f>
        <v>0</v>
      </c>
      <c r="Q10" s="447">
        <f t="shared" si="0"/>
        <v>985.9816447558087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912.94990000000007</v>
      </c>
      <c r="C14" s="455"/>
      <c r="D14" s="455">
        <f>'SEAP template'!E25</f>
        <v>2537.4503999999997</v>
      </c>
      <c r="E14" s="455"/>
      <c r="F14" s="455"/>
      <c r="G14" s="455"/>
      <c r="H14" s="455"/>
      <c r="I14" s="455"/>
      <c r="J14" s="455"/>
      <c r="K14" s="455"/>
      <c r="L14" s="455"/>
      <c r="M14" s="455"/>
      <c r="N14" s="455"/>
      <c r="O14" s="455"/>
      <c r="P14" s="456"/>
      <c r="Q14" s="447">
        <f t="shared" si="0"/>
        <v>3450.4002999999998</v>
      </c>
    </row>
    <row r="15" spans="1:17" s="459" customFormat="1">
      <c r="A15" s="457" t="s">
        <v>538</v>
      </c>
      <c r="B15" s="458">
        <f ca="1">SUM(B4:B14)</f>
        <v>59545.939620893958</v>
      </c>
      <c r="C15" s="458">
        <f t="shared" ref="C15:Q15" ca="1" si="1">SUM(C4:C14)</f>
        <v>0</v>
      </c>
      <c r="D15" s="458">
        <f t="shared" ca="1" si="1"/>
        <v>158417.95822256722</v>
      </c>
      <c r="E15" s="458">
        <f t="shared" si="1"/>
        <v>3352.6054574656964</v>
      </c>
      <c r="F15" s="458">
        <f t="shared" ca="1" si="1"/>
        <v>34723.701392376468</v>
      </c>
      <c r="G15" s="458">
        <f t="shared" si="1"/>
        <v>55681.050711215918</v>
      </c>
      <c r="H15" s="458">
        <f t="shared" si="1"/>
        <v>12522.43789362238</v>
      </c>
      <c r="I15" s="458">
        <f t="shared" si="1"/>
        <v>0</v>
      </c>
      <c r="J15" s="458">
        <f t="shared" si="1"/>
        <v>334.36437167776643</v>
      </c>
      <c r="K15" s="458">
        <f t="shared" si="1"/>
        <v>0</v>
      </c>
      <c r="L15" s="458">
        <f t="shared" ca="1" si="1"/>
        <v>0</v>
      </c>
      <c r="M15" s="458">
        <f t="shared" si="1"/>
        <v>4037.6760968478102</v>
      </c>
      <c r="N15" s="458">
        <f t="shared" ca="1" si="1"/>
        <v>14571.380882064901</v>
      </c>
      <c r="O15" s="458">
        <f t="shared" si="1"/>
        <v>571.25469761821239</v>
      </c>
      <c r="P15" s="458">
        <f t="shared" si="1"/>
        <v>1253.0185246867973</v>
      </c>
      <c r="Q15" s="458">
        <f t="shared" ca="1" si="1"/>
        <v>345011.38787103712</v>
      </c>
    </row>
    <row r="17" spans="1:17">
      <c r="A17" s="460" t="s">
        <v>539</v>
      </c>
      <c r="B17" s="776">
        <f ca="1">huishoudens!B10</f>
        <v>0.19912325310553766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7100.0774229464678</v>
      </c>
      <c r="C22" s="448">
        <f t="shared" ref="C22:C32" ca="1" si="3">C4*$C$17</f>
        <v>0</v>
      </c>
      <c r="D22" s="448">
        <f t="shared" ref="D22:D32" si="4">D4*$D$17</f>
        <v>24365.527220487202</v>
      </c>
      <c r="E22" s="448">
        <f t="shared" ref="E22:E32" si="5">E4*$E$17</f>
        <v>368.98550134460493</v>
      </c>
      <c r="F22" s="448">
        <f t="shared" ref="F22:F32" si="6">F4*$F$17</f>
        <v>6996.7386084857526</v>
      </c>
      <c r="G22" s="448">
        <f t="shared" ref="G22:G32" si="7">G4*$G$17</f>
        <v>0</v>
      </c>
      <c r="H22" s="448">
        <f t="shared" ref="H22:H32" si="8">H4*$H$17</f>
        <v>0</v>
      </c>
      <c r="I22" s="448">
        <f t="shared" ref="I22:I32" si="9">I4*$I$17</f>
        <v>0</v>
      </c>
      <c r="J22" s="448">
        <f t="shared" ref="J22:J32" si="10">J4*$J$17</f>
        <v>37.059507276130262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38868.388260540152</v>
      </c>
    </row>
    <row r="23" spans="1:17">
      <c r="A23" s="447" t="s">
        <v>155</v>
      </c>
      <c r="B23" s="448">
        <f t="shared" ca="1" si="2"/>
        <v>2811.4555125642833</v>
      </c>
      <c r="C23" s="448">
        <f t="shared" ca="1" si="3"/>
        <v>0</v>
      </c>
      <c r="D23" s="448">
        <f t="shared" ca="1" si="4"/>
        <v>3778.172864896892</v>
      </c>
      <c r="E23" s="448">
        <f t="shared" si="5"/>
        <v>39.196988922400763</v>
      </c>
      <c r="F23" s="448">
        <f t="shared" ca="1" si="6"/>
        <v>441.52004657695687</v>
      </c>
      <c r="G23" s="448">
        <f t="shared" si="7"/>
        <v>0</v>
      </c>
      <c r="H23" s="448">
        <f t="shared" si="8"/>
        <v>0</v>
      </c>
      <c r="I23" s="448">
        <f t="shared" si="9"/>
        <v>0</v>
      </c>
      <c r="J23" s="448">
        <f t="shared" si="10"/>
        <v>1.8224342253292707E-2</v>
      </c>
      <c r="K23" s="448">
        <f t="shared" si="11"/>
        <v>0</v>
      </c>
      <c r="L23" s="448">
        <f t="shared" ca="1" si="12"/>
        <v>0</v>
      </c>
      <c r="M23" s="448">
        <f t="shared" si="13"/>
        <v>0</v>
      </c>
      <c r="N23" s="448">
        <f t="shared" ca="1" si="14"/>
        <v>0</v>
      </c>
      <c r="O23" s="448">
        <f t="shared" si="15"/>
        <v>0</v>
      </c>
      <c r="P23" s="449">
        <f t="shared" si="16"/>
        <v>0</v>
      </c>
      <c r="Q23" s="447">
        <f t="shared" ref="Q23:Q31" ca="1" si="17">SUM(B23:P23)</f>
        <v>7070.3636373027857</v>
      </c>
    </row>
    <row r="24" spans="1:17">
      <c r="A24" s="447" t="s">
        <v>193</v>
      </c>
      <c r="B24" s="448">
        <f t="shared" ca="1" si="2"/>
        <v>236.057032338059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236.057032338059</v>
      </c>
    </row>
    <row r="25" spans="1:17">
      <c r="A25" s="447" t="s">
        <v>111</v>
      </c>
      <c r="B25" s="448">
        <f t="shared" ca="1" si="2"/>
        <v>144.13695974646828</v>
      </c>
      <c r="C25" s="448">
        <f t="shared" ca="1" si="3"/>
        <v>0</v>
      </c>
      <c r="D25" s="448">
        <f t="shared" si="4"/>
        <v>47.531375276000013</v>
      </c>
      <c r="E25" s="448">
        <f t="shared" si="5"/>
        <v>5.1282408722050201</v>
      </c>
      <c r="F25" s="448">
        <f t="shared" si="6"/>
        <v>683.03789380657429</v>
      </c>
      <c r="G25" s="448">
        <f t="shared" si="7"/>
        <v>0</v>
      </c>
      <c r="H25" s="448">
        <f t="shared" si="8"/>
        <v>0</v>
      </c>
      <c r="I25" s="448">
        <f t="shared" si="9"/>
        <v>0</v>
      </c>
      <c r="J25" s="448">
        <f t="shared" si="10"/>
        <v>70.597476214577469</v>
      </c>
      <c r="K25" s="448">
        <f t="shared" si="11"/>
        <v>0</v>
      </c>
      <c r="L25" s="448">
        <f t="shared" si="12"/>
        <v>0</v>
      </c>
      <c r="M25" s="448">
        <f t="shared" si="13"/>
        <v>0</v>
      </c>
      <c r="N25" s="448">
        <f t="shared" si="14"/>
        <v>0</v>
      </c>
      <c r="O25" s="448">
        <f t="shared" si="15"/>
        <v>0</v>
      </c>
      <c r="P25" s="449">
        <f t="shared" si="16"/>
        <v>0</v>
      </c>
      <c r="Q25" s="447">
        <f t="shared" ca="1" si="17"/>
        <v>950.43194591582505</v>
      </c>
    </row>
    <row r="26" spans="1:17">
      <c r="A26" s="447" t="s">
        <v>618</v>
      </c>
      <c r="B26" s="448">
        <f t="shared" ca="1" si="2"/>
        <v>1364.9824528287943</v>
      </c>
      <c r="C26" s="448">
        <f t="shared" ca="1" si="3"/>
        <v>0</v>
      </c>
      <c r="D26" s="448">
        <f t="shared" si="4"/>
        <v>3268.1881920512005</v>
      </c>
      <c r="E26" s="448">
        <f t="shared" si="5"/>
        <v>319.96673204294126</v>
      </c>
      <c r="F26" s="448">
        <f t="shared" si="6"/>
        <v>1149.931722895233</v>
      </c>
      <c r="G26" s="448">
        <f t="shared" si="7"/>
        <v>0</v>
      </c>
      <c r="H26" s="448">
        <f t="shared" si="8"/>
        <v>0</v>
      </c>
      <c r="I26" s="448">
        <f t="shared" si="9"/>
        <v>0</v>
      </c>
      <c r="J26" s="448">
        <f t="shared" si="10"/>
        <v>10.689779740968268</v>
      </c>
      <c r="K26" s="448">
        <f t="shared" si="11"/>
        <v>0</v>
      </c>
      <c r="L26" s="448">
        <f t="shared" si="12"/>
        <v>0</v>
      </c>
      <c r="M26" s="448">
        <f t="shared" si="13"/>
        <v>0</v>
      </c>
      <c r="N26" s="448">
        <f t="shared" si="14"/>
        <v>0</v>
      </c>
      <c r="O26" s="448">
        <f t="shared" si="15"/>
        <v>0</v>
      </c>
      <c r="P26" s="449">
        <f t="shared" si="16"/>
        <v>0</v>
      </c>
      <c r="Q26" s="447">
        <f t="shared" ca="1" si="17"/>
        <v>6113.7588795591382</v>
      </c>
    </row>
    <row r="27" spans="1:17" s="453" customFormat="1">
      <c r="A27" s="451" t="s">
        <v>544</v>
      </c>
      <c r="B27" s="770">
        <f t="shared" ca="1" si="2"/>
        <v>15.950577219795349</v>
      </c>
      <c r="C27" s="452">
        <f t="shared" ca="1" si="3"/>
        <v>0</v>
      </c>
      <c r="D27" s="452">
        <f t="shared" si="4"/>
        <v>28.442927447287861</v>
      </c>
      <c r="E27" s="452">
        <f t="shared" si="5"/>
        <v>27.763975662561077</v>
      </c>
      <c r="F27" s="452">
        <f t="shared" si="6"/>
        <v>0</v>
      </c>
      <c r="G27" s="452">
        <f t="shared" si="7"/>
        <v>14620.889838940126</v>
      </c>
      <c r="H27" s="452">
        <f t="shared" si="8"/>
        <v>3118.0870355119728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17811.134354781741</v>
      </c>
    </row>
    <row r="28" spans="1:17" ht="16.5" customHeight="1">
      <c r="A28" s="447" t="s">
        <v>534</v>
      </c>
      <c r="B28" s="448">
        <f t="shared" ca="1" si="2"/>
        <v>2.5316948840889615</v>
      </c>
      <c r="C28" s="448">
        <f t="shared" ca="1" si="3"/>
        <v>0</v>
      </c>
      <c r="D28" s="448">
        <f t="shared" si="4"/>
        <v>0</v>
      </c>
      <c r="E28" s="448">
        <f t="shared" si="5"/>
        <v>0</v>
      </c>
      <c r="F28" s="448">
        <f t="shared" si="6"/>
        <v>0</v>
      </c>
      <c r="G28" s="448">
        <f t="shared" si="7"/>
        <v>245.95070095452567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248.48239583861462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181.7895540103753</v>
      </c>
      <c r="C32" s="448">
        <f t="shared" ca="1" si="3"/>
        <v>0</v>
      </c>
      <c r="D32" s="448">
        <f t="shared" si="4"/>
        <v>512.56498079999994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694.3545348103753</v>
      </c>
    </row>
    <row r="33" spans="1:17" s="459" customFormat="1">
      <c r="A33" s="457" t="s">
        <v>538</v>
      </c>
      <c r="B33" s="458">
        <f ca="1">SUM(B22:B32)</f>
        <v>11856.981206538332</v>
      </c>
      <c r="C33" s="458">
        <f t="shared" ref="C33:Q33" ca="1" si="19">SUM(C22:C32)</f>
        <v>0</v>
      </c>
      <c r="D33" s="458">
        <f t="shared" ca="1" si="19"/>
        <v>32000.427560958586</v>
      </c>
      <c r="E33" s="458">
        <f t="shared" si="19"/>
        <v>761.04143884471296</v>
      </c>
      <c r="F33" s="458">
        <f t="shared" ca="1" si="19"/>
        <v>9271.2282717645157</v>
      </c>
      <c r="G33" s="458">
        <f t="shared" si="19"/>
        <v>14866.840539894651</v>
      </c>
      <c r="H33" s="458">
        <f t="shared" si="19"/>
        <v>3118.0870355119728</v>
      </c>
      <c r="I33" s="458">
        <f t="shared" si="19"/>
        <v>0</v>
      </c>
      <c r="J33" s="458">
        <f t="shared" si="19"/>
        <v>118.36498757392928</v>
      </c>
      <c r="K33" s="458">
        <f t="shared" si="19"/>
        <v>0</v>
      </c>
      <c r="L33" s="458">
        <f t="shared" ca="1" si="19"/>
        <v>0</v>
      </c>
      <c r="M33" s="458">
        <f t="shared" si="19"/>
        <v>0</v>
      </c>
      <c r="N33" s="458">
        <f t="shared" ca="1" si="19"/>
        <v>0</v>
      </c>
      <c r="O33" s="458">
        <f t="shared" si="19"/>
        <v>0</v>
      </c>
      <c r="P33" s="458">
        <f t="shared" si="19"/>
        <v>0</v>
      </c>
      <c r="Q33" s="458">
        <f t="shared" ca="1" si="19"/>
        <v>71992.971041086697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5894.4409487748189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5894.4409487748189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0.19912325310553766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0.19912325310553766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0.19912325310553766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0.19912325310553766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9403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1515.62</v>
      </c>
      <c r="C14" s="326"/>
      <c r="D14" s="326"/>
      <c r="E14" s="326"/>
      <c r="F14" s="326"/>
    </row>
    <row r="15" spans="1:6">
      <c r="A15" s="1298" t="s">
        <v>183</v>
      </c>
      <c r="B15" s="1299">
        <v>22</v>
      </c>
      <c r="C15" s="326"/>
      <c r="D15" s="326"/>
      <c r="E15" s="326"/>
      <c r="F15" s="326"/>
    </row>
    <row r="16" spans="1:6">
      <c r="A16" s="1298" t="s">
        <v>6</v>
      </c>
      <c r="B16" s="1299">
        <v>1078</v>
      </c>
      <c r="C16" s="326"/>
      <c r="D16" s="326"/>
      <c r="E16" s="326"/>
      <c r="F16" s="326"/>
    </row>
    <row r="17" spans="1:6">
      <c r="A17" s="1298" t="s">
        <v>7</v>
      </c>
      <c r="B17" s="1299">
        <v>62</v>
      </c>
      <c r="C17" s="326"/>
      <c r="D17" s="326"/>
      <c r="E17" s="326"/>
      <c r="F17" s="326"/>
    </row>
    <row r="18" spans="1:6">
      <c r="A18" s="1298" t="s">
        <v>8</v>
      </c>
      <c r="B18" s="1299">
        <v>549</v>
      </c>
      <c r="C18" s="326"/>
      <c r="D18" s="326"/>
      <c r="E18" s="326"/>
      <c r="F18" s="326"/>
    </row>
    <row r="19" spans="1:6">
      <c r="A19" s="1298" t="s">
        <v>9</v>
      </c>
      <c r="B19" s="1299">
        <v>419</v>
      </c>
      <c r="C19" s="326"/>
      <c r="D19" s="326"/>
      <c r="E19" s="326"/>
      <c r="F19" s="326"/>
    </row>
    <row r="20" spans="1:6">
      <c r="A20" s="1298" t="s">
        <v>10</v>
      </c>
      <c r="B20" s="1299">
        <v>416</v>
      </c>
      <c r="C20" s="326"/>
      <c r="D20" s="326"/>
      <c r="E20" s="326"/>
      <c r="F20" s="326"/>
    </row>
    <row r="21" spans="1:6">
      <c r="A21" s="1298" t="s">
        <v>11</v>
      </c>
      <c r="B21" s="1299">
        <v>0</v>
      </c>
      <c r="C21" s="326"/>
      <c r="D21" s="326"/>
      <c r="E21" s="326"/>
      <c r="F21" s="326"/>
    </row>
    <row r="22" spans="1:6">
      <c r="A22" s="1298" t="s">
        <v>12</v>
      </c>
      <c r="B22" s="1299">
        <v>617</v>
      </c>
      <c r="C22" s="326"/>
      <c r="D22" s="326"/>
      <c r="E22" s="326"/>
      <c r="F22" s="326"/>
    </row>
    <row r="23" spans="1:6">
      <c r="A23" s="1298" t="s">
        <v>13</v>
      </c>
      <c r="B23" s="1299">
        <v>0</v>
      </c>
      <c r="C23" s="326"/>
      <c r="D23" s="326"/>
      <c r="E23" s="326"/>
      <c r="F23" s="326"/>
    </row>
    <row r="24" spans="1:6">
      <c r="A24" s="1298" t="s">
        <v>14</v>
      </c>
      <c r="B24" s="1299">
        <v>57</v>
      </c>
      <c r="C24" s="326"/>
      <c r="D24" s="326"/>
      <c r="E24" s="326"/>
      <c r="F24" s="326"/>
    </row>
    <row r="25" spans="1:6">
      <c r="A25" s="1298" t="s">
        <v>15</v>
      </c>
      <c r="B25" s="1299">
        <v>1</v>
      </c>
      <c r="C25" s="326"/>
      <c r="D25" s="326"/>
      <c r="E25" s="326"/>
      <c r="F25" s="326"/>
    </row>
    <row r="26" spans="1:6">
      <c r="A26" s="1298" t="s">
        <v>16</v>
      </c>
      <c r="B26" s="1299">
        <v>2</v>
      </c>
      <c r="C26" s="326"/>
      <c r="D26" s="326"/>
      <c r="E26" s="326"/>
      <c r="F26" s="326"/>
    </row>
    <row r="27" spans="1:6">
      <c r="A27" s="1298" t="s">
        <v>17</v>
      </c>
      <c r="B27" s="1299">
        <v>15</v>
      </c>
      <c r="C27" s="326"/>
      <c r="D27" s="326"/>
      <c r="E27" s="326"/>
      <c r="F27" s="326"/>
    </row>
    <row r="28" spans="1:6" s="43" customFormat="1">
      <c r="A28" s="1300" t="s">
        <v>18</v>
      </c>
      <c r="B28" s="1301">
        <v>13121</v>
      </c>
      <c r="C28" s="332"/>
      <c r="D28" s="332"/>
      <c r="E28" s="332"/>
      <c r="F28" s="332"/>
    </row>
    <row r="29" spans="1:6">
      <c r="A29" s="1300" t="s">
        <v>695</v>
      </c>
      <c r="B29" s="1301">
        <v>191</v>
      </c>
      <c r="C29" s="332"/>
      <c r="D29" s="332"/>
      <c r="E29" s="332"/>
      <c r="F29" s="332"/>
    </row>
    <row r="30" spans="1:6">
      <c r="A30" s="1293" t="s">
        <v>696</v>
      </c>
      <c r="B30" s="1302">
        <v>46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18629</v>
      </c>
    </row>
    <row r="37" spans="1:6">
      <c r="A37" s="1298" t="s">
        <v>24</v>
      </c>
      <c r="B37" s="1298" t="s">
        <v>27</v>
      </c>
      <c r="C37" s="1299">
        <v>0</v>
      </c>
      <c r="D37" s="1299">
        <v>0</v>
      </c>
      <c r="E37" s="1299">
        <v>0</v>
      </c>
      <c r="F37" s="1299">
        <v>0</v>
      </c>
    </row>
    <row r="38" spans="1:6">
      <c r="A38" s="1298" t="s">
        <v>24</v>
      </c>
      <c r="B38" s="1298" t="s">
        <v>28</v>
      </c>
      <c r="C38" s="1299">
        <v>1</v>
      </c>
      <c r="D38" s="1299">
        <v>314855</v>
      </c>
      <c r="E38" s="1299">
        <v>0</v>
      </c>
      <c r="F38" s="1299">
        <v>0</v>
      </c>
    </row>
    <row r="39" spans="1:6">
      <c r="A39" s="1298" t="s">
        <v>29</v>
      </c>
      <c r="B39" s="1298" t="s">
        <v>30</v>
      </c>
      <c r="C39" s="1299">
        <v>7810</v>
      </c>
      <c r="D39" s="1299">
        <v>133726631.8</v>
      </c>
      <c r="E39" s="1299">
        <v>9465</v>
      </c>
      <c r="F39" s="1299">
        <v>31032158.699999999</v>
      </c>
    </row>
    <row r="40" spans="1:6">
      <c r="A40" s="1298" t="s">
        <v>29</v>
      </c>
      <c r="B40" s="1298" t="s">
        <v>28</v>
      </c>
      <c r="C40" s="1299">
        <v>0</v>
      </c>
      <c r="D40" s="1299">
        <v>0</v>
      </c>
      <c r="E40" s="1299">
        <v>0</v>
      </c>
      <c r="F40" s="1299">
        <v>0</v>
      </c>
    </row>
    <row r="41" spans="1:6">
      <c r="A41" s="1298" t="s">
        <v>31</v>
      </c>
      <c r="B41" s="1298" t="s">
        <v>32</v>
      </c>
      <c r="C41" s="1299">
        <v>110</v>
      </c>
      <c r="D41" s="1299">
        <v>16408158.800000001</v>
      </c>
      <c r="E41" s="1299">
        <v>170</v>
      </c>
      <c r="F41" s="1299">
        <v>5063867.5999999996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96121</v>
      </c>
      <c r="E44" s="1299">
        <v>21</v>
      </c>
      <c r="F44" s="1299">
        <v>130736</v>
      </c>
    </row>
    <row r="45" spans="1:6">
      <c r="A45" s="1298" t="s">
        <v>31</v>
      </c>
      <c r="B45" s="1298" t="s">
        <v>36</v>
      </c>
      <c r="C45" s="1299">
        <v>0</v>
      </c>
      <c r="D45" s="1299">
        <v>0</v>
      </c>
      <c r="E45" s="1299">
        <v>4</v>
      </c>
      <c r="F45" s="1299">
        <v>58657</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274646</v>
      </c>
    </row>
    <row r="48" spans="1:6">
      <c r="A48" s="1298" t="s">
        <v>31</v>
      </c>
      <c r="B48" s="1298" t="s">
        <v>28</v>
      </c>
      <c r="C48" s="1299">
        <v>4</v>
      </c>
      <c r="D48" s="1299">
        <v>67058</v>
      </c>
      <c r="E48" s="1299">
        <v>0</v>
      </c>
      <c r="F48" s="1299">
        <v>0</v>
      </c>
    </row>
    <row r="49" spans="1:6">
      <c r="A49" s="1298" t="s">
        <v>31</v>
      </c>
      <c r="B49" s="1298" t="s">
        <v>39</v>
      </c>
      <c r="C49" s="1299">
        <v>0</v>
      </c>
      <c r="D49" s="1299">
        <v>0</v>
      </c>
      <c r="E49" s="1299">
        <v>0</v>
      </c>
      <c r="F49" s="1299">
        <v>0</v>
      </c>
    </row>
    <row r="50" spans="1:6">
      <c r="A50" s="1298" t="s">
        <v>31</v>
      </c>
      <c r="B50" s="1298" t="s">
        <v>40</v>
      </c>
      <c r="C50" s="1299">
        <v>10</v>
      </c>
      <c r="D50" s="1299">
        <v>1365635</v>
      </c>
      <c r="E50" s="1299">
        <v>15</v>
      </c>
      <c r="F50" s="1299">
        <v>1327056</v>
      </c>
    </row>
    <row r="51" spans="1:6">
      <c r="A51" s="1298" t="s">
        <v>41</v>
      </c>
      <c r="B51" s="1298" t="s">
        <v>42</v>
      </c>
      <c r="C51" s="1299">
        <v>11</v>
      </c>
      <c r="D51" s="1299">
        <v>260869</v>
      </c>
      <c r="E51" s="1299">
        <v>41</v>
      </c>
      <c r="F51" s="1299">
        <v>723858</v>
      </c>
    </row>
    <row r="52" spans="1:6">
      <c r="A52" s="1298" t="s">
        <v>41</v>
      </c>
      <c r="B52" s="1298" t="s">
        <v>28</v>
      </c>
      <c r="C52" s="1299">
        <v>0</v>
      </c>
      <c r="D52" s="1299">
        <v>0</v>
      </c>
      <c r="E52" s="1299">
        <v>0</v>
      </c>
      <c r="F52" s="1299">
        <v>0</v>
      </c>
    </row>
    <row r="53" spans="1:6">
      <c r="A53" s="1298" t="s">
        <v>43</v>
      </c>
      <c r="B53" s="1298" t="s">
        <v>44</v>
      </c>
      <c r="C53" s="1299">
        <v>107</v>
      </c>
      <c r="D53" s="1299">
        <v>2537450.4</v>
      </c>
      <c r="E53" s="1299">
        <v>206</v>
      </c>
      <c r="F53" s="1299">
        <v>912949.9</v>
      </c>
    </row>
    <row r="54" spans="1:6">
      <c r="A54" s="1298" t="s">
        <v>45</v>
      </c>
      <c r="B54" s="1298" t="s">
        <v>46</v>
      </c>
      <c r="C54" s="1299">
        <v>0</v>
      </c>
      <c r="D54" s="1299">
        <v>0</v>
      </c>
      <c r="E54" s="1299">
        <v>1</v>
      </c>
      <c r="F54" s="1299">
        <v>1185482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58</v>
      </c>
      <c r="D57" s="1299">
        <v>1552291</v>
      </c>
      <c r="E57" s="1299">
        <v>141</v>
      </c>
      <c r="F57" s="1299">
        <v>3032577</v>
      </c>
    </row>
    <row r="58" spans="1:6">
      <c r="A58" s="1298" t="s">
        <v>48</v>
      </c>
      <c r="B58" s="1298" t="s">
        <v>50</v>
      </c>
      <c r="C58" s="1299">
        <v>56</v>
      </c>
      <c r="D58" s="1299">
        <v>3393380</v>
      </c>
      <c r="E58" s="1299">
        <v>73</v>
      </c>
      <c r="F58" s="1299">
        <v>1373466</v>
      </c>
    </row>
    <row r="59" spans="1:6">
      <c r="A59" s="1298" t="s">
        <v>48</v>
      </c>
      <c r="B59" s="1298" t="s">
        <v>51</v>
      </c>
      <c r="C59" s="1299">
        <v>116</v>
      </c>
      <c r="D59" s="1299">
        <v>2713636.6</v>
      </c>
      <c r="E59" s="1299">
        <v>201</v>
      </c>
      <c r="F59" s="1299">
        <v>4221844</v>
      </c>
    </row>
    <row r="60" spans="1:6">
      <c r="A60" s="1298" t="s">
        <v>48</v>
      </c>
      <c r="B60" s="1298" t="s">
        <v>52</v>
      </c>
      <c r="C60" s="1299">
        <v>64</v>
      </c>
      <c r="D60" s="1299">
        <v>3453021.7</v>
      </c>
      <c r="E60" s="1299">
        <v>86</v>
      </c>
      <c r="F60" s="1299">
        <v>2051159.915</v>
      </c>
    </row>
    <row r="61" spans="1:6">
      <c r="A61" s="1298" t="s">
        <v>48</v>
      </c>
      <c r="B61" s="1298" t="s">
        <v>53</v>
      </c>
      <c r="C61" s="1299">
        <v>209</v>
      </c>
      <c r="D61" s="1299">
        <v>9093123.773</v>
      </c>
      <c r="E61" s="1299">
        <v>324</v>
      </c>
      <c r="F61" s="1299">
        <v>3301666.35</v>
      </c>
    </row>
    <row r="62" spans="1:6">
      <c r="A62" s="1298" t="s">
        <v>48</v>
      </c>
      <c r="B62" s="1298" t="s">
        <v>54</v>
      </c>
      <c r="C62" s="1299">
        <v>17</v>
      </c>
      <c r="D62" s="1299">
        <v>530496</v>
      </c>
      <c r="E62" s="1299">
        <v>19</v>
      </c>
      <c r="F62" s="1299">
        <v>138459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11425.2</v>
      </c>
      <c r="E65" s="1299">
        <v>1</v>
      </c>
      <c r="F65" s="1299">
        <v>225</v>
      </c>
    </row>
    <row r="66" spans="1:6">
      <c r="A66" s="1298" t="s">
        <v>55</v>
      </c>
      <c r="B66" s="1298" t="s">
        <v>57</v>
      </c>
      <c r="C66" s="1299">
        <v>0</v>
      </c>
      <c r="D66" s="1299">
        <v>0</v>
      </c>
      <c r="E66" s="1299">
        <v>8</v>
      </c>
      <c r="F66" s="1299">
        <v>20272</v>
      </c>
    </row>
    <row r="67" spans="1:6">
      <c r="A67" s="1300" t="s">
        <v>55</v>
      </c>
      <c r="B67" s="1300" t="s">
        <v>58</v>
      </c>
      <c r="C67" s="1299">
        <v>0</v>
      </c>
      <c r="D67" s="1299">
        <v>0</v>
      </c>
      <c r="E67" s="1299">
        <v>0</v>
      </c>
      <c r="F67" s="1299">
        <v>0</v>
      </c>
    </row>
    <row r="68" spans="1:6">
      <c r="A68" s="1293" t="s">
        <v>55</v>
      </c>
      <c r="B68" s="1293" t="s">
        <v>59</v>
      </c>
      <c r="C68" s="1302">
        <v>6</v>
      </c>
      <c r="D68" s="1302">
        <v>157188</v>
      </c>
      <c r="E68" s="1302">
        <v>9</v>
      </c>
      <c r="F68" s="1302">
        <v>51729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73355790</v>
      </c>
      <c r="E73" s="446"/>
      <c r="F73" s="326"/>
    </row>
    <row r="74" spans="1:6">
      <c r="A74" s="1298" t="s">
        <v>63</v>
      </c>
      <c r="B74" s="1298" t="s">
        <v>639</v>
      </c>
      <c r="C74" s="1312" t="s">
        <v>641</v>
      </c>
      <c r="D74" s="1313">
        <v>6211775.5</v>
      </c>
      <c r="E74" s="446"/>
      <c r="F74" s="326"/>
    </row>
    <row r="75" spans="1:6">
      <c r="A75" s="1298" t="s">
        <v>64</v>
      </c>
      <c r="B75" s="1298" t="s">
        <v>638</v>
      </c>
      <c r="C75" s="1312" t="s">
        <v>642</v>
      </c>
      <c r="D75" s="1313">
        <v>11295041</v>
      </c>
      <c r="E75" s="446"/>
      <c r="F75" s="326"/>
    </row>
    <row r="76" spans="1:6">
      <c r="A76" s="1298" t="s">
        <v>64</v>
      </c>
      <c r="B76" s="1298" t="s">
        <v>639</v>
      </c>
      <c r="C76" s="1312" t="s">
        <v>643</v>
      </c>
      <c r="D76" s="1313">
        <v>225083.5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270179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4624.5379048075902</v>
      </c>
      <c r="C91" s="326"/>
      <c r="D91" s="326"/>
      <c r="E91" s="326"/>
      <c r="F91" s="326"/>
    </row>
    <row r="92" spans="1:6">
      <c r="A92" s="1293" t="s">
        <v>68</v>
      </c>
      <c r="B92" s="1294">
        <v>1269.9030439672285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5094</v>
      </c>
      <c r="C97" s="326"/>
      <c r="D97" s="326"/>
      <c r="E97" s="326"/>
      <c r="F97" s="326"/>
    </row>
    <row r="98" spans="1:6">
      <c r="A98" s="1298" t="s">
        <v>71</v>
      </c>
      <c r="B98" s="1299">
        <v>7</v>
      </c>
      <c r="C98" s="326"/>
      <c r="D98" s="326"/>
      <c r="E98" s="326"/>
      <c r="F98" s="326"/>
    </row>
    <row r="99" spans="1:6">
      <c r="A99" s="1298" t="s">
        <v>72</v>
      </c>
      <c r="B99" s="1299">
        <v>111</v>
      </c>
      <c r="C99" s="326"/>
      <c r="D99" s="326"/>
      <c r="E99" s="326"/>
      <c r="F99" s="326"/>
    </row>
    <row r="100" spans="1:6">
      <c r="A100" s="1298" t="s">
        <v>73</v>
      </c>
      <c r="B100" s="1299">
        <v>335</v>
      </c>
      <c r="C100" s="326"/>
      <c r="D100" s="326"/>
      <c r="E100" s="326"/>
      <c r="F100" s="326"/>
    </row>
    <row r="101" spans="1:6">
      <c r="A101" s="1298" t="s">
        <v>74</v>
      </c>
      <c r="B101" s="1299">
        <v>106</v>
      </c>
      <c r="C101" s="326"/>
      <c r="D101" s="326"/>
      <c r="E101" s="326"/>
      <c r="F101" s="326"/>
    </row>
    <row r="102" spans="1:6">
      <c r="A102" s="1298" t="s">
        <v>75</v>
      </c>
      <c r="B102" s="1299">
        <v>71</v>
      </c>
      <c r="C102" s="326"/>
      <c r="D102" s="326"/>
      <c r="E102" s="326"/>
      <c r="F102" s="326"/>
    </row>
    <row r="103" spans="1:6">
      <c r="A103" s="1298" t="s">
        <v>76</v>
      </c>
      <c r="B103" s="1299">
        <v>316</v>
      </c>
      <c r="C103" s="326"/>
      <c r="D103" s="326"/>
      <c r="E103" s="326"/>
      <c r="F103" s="326"/>
    </row>
    <row r="104" spans="1:6">
      <c r="A104" s="1298" t="s">
        <v>77</v>
      </c>
      <c r="B104" s="1299">
        <v>1788</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2</v>
      </c>
      <c r="C122" s="1299">
        <v>0</v>
      </c>
      <c r="D122" s="326"/>
      <c r="E122" s="326"/>
      <c r="F122" s="326"/>
    </row>
    <row r="123" spans="1:6">
      <c r="A123" s="1298" t="s">
        <v>87</v>
      </c>
      <c r="B123" s="1299">
        <v>61</v>
      </c>
      <c r="C123" s="1299">
        <v>80</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201</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36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59545.939620893965</v>
      </c>
      <c r="C3" s="43" t="s">
        <v>169</v>
      </c>
      <c r="D3" s="43"/>
      <c r="E3" s="154"/>
      <c r="F3" s="43"/>
      <c r="G3" s="43"/>
      <c r="H3" s="43"/>
      <c r="I3" s="43"/>
      <c r="J3" s="43"/>
      <c r="K3" s="96"/>
    </row>
    <row r="4" spans="1:11">
      <c r="A4" s="354" t="s">
        <v>170</v>
      </c>
      <c r="B4" s="49">
        <f>IF(ISERROR('SEAP template'!B78+'SEAP template'!C78),0,'SEAP template'!B78+'SEAP template'!C78)</f>
        <v>5894.4409487748189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0.19912325310553766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1185.482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1185.482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0.19912325310553766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236.057032338059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31032.1587</v>
      </c>
      <c r="C5" s="17">
        <f>IF(ISERROR('Eigen informatie GS &amp; warmtenet'!B59),0,'Eigen informatie GS &amp; warmtenet'!B59)</f>
        <v>0</v>
      </c>
      <c r="D5" s="30">
        <f>(SUM(HH_hh_gas_kWh,HH_rest_gas_kWh)/1000)*0.902</f>
        <v>120621.42188360001</v>
      </c>
      <c r="E5" s="17">
        <f>B32*B41</f>
        <v>1625.4867900643387</v>
      </c>
      <c r="F5" s="17">
        <f>B36*B45</f>
        <v>26205.013514927912</v>
      </c>
      <c r="G5" s="18"/>
      <c r="H5" s="17"/>
      <c r="I5" s="17"/>
      <c r="J5" s="17">
        <f>B35*B44+C35*C44</f>
        <v>104.68787366138493</v>
      </c>
      <c r="K5" s="17"/>
      <c r="L5" s="17"/>
      <c r="M5" s="17"/>
      <c r="N5" s="17">
        <f>B34*B43+C34*C43</f>
        <v>12089.525280539874</v>
      </c>
      <c r="O5" s="17">
        <f>B52*B53*B54</f>
        <v>561.46017608653005</v>
      </c>
      <c r="P5" s="17">
        <f>B60*B61*B62/1000-B60*B61*B62/1000/B63</f>
        <v>1042.8619714608171</v>
      </c>
    </row>
    <row r="6" spans="1:16">
      <c r="A6" s="16" t="s">
        <v>604</v>
      </c>
      <c r="B6" s="778">
        <f>kWh_PV_kleiner_dan_10kW</f>
        <v>4624.5379048075902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35656.696604807592</v>
      </c>
      <c r="C8" s="21">
        <f>C5</f>
        <v>0</v>
      </c>
      <c r="D8" s="21">
        <f>D5</f>
        <v>120621.42188360001</v>
      </c>
      <c r="E8" s="21">
        <f>E5</f>
        <v>1625.4867900643387</v>
      </c>
      <c r="F8" s="21">
        <f>F5</f>
        <v>26205.013514927912</v>
      </c>
      <c r="G8" s="21"/>
      <c r="H8" s="21"/>
      <c r="I8" s="21"/>
      <c r="J8" s="21">
        <f>J5</f>
        <v>104.68787366138493</v>
      </c>
      <c r="K8" s="21"/>
      <c r="L8" s="21">
        <f>L5</f>
        <v>0</v>
      </c>
      <c r="M8" s="21">
        <f>M5</f>
        <v>0</v>
      </c>
      <c r="N8" s="21">
        <f>N5</f>
        <v>12089.525280539874</v>
      </c>
      <c r="O8" s="21">
        <f>O5</f>
        <v>561.46017608653005</v>
      </c>
      <c r="P8" s="21">
        <f>P5</f>
        <v>1042.8619714608171</v>
      </c>
    </row>
    <row r="9" spans="1:16">
      <c r="B9" s="19"/>
      <c r="C9" s="19"/>
      <c r="D9" s="256"/>
      <c r="E9" s="19"/>
      <c r="F9" s="19"/>
      <c r="G9" s="19"/>
      <c r="H9" s="19"/>
      <c r="I9" s="19"/>
      <c r="J9" s="19"/>
      <c r="K9" s="19"/>
      <c r="L9" s="19"/>
      <c r="M9" s="19"/>
      <c r="N9" s="19"/>
      <c r="O9" s="19"/>
      <c r="P9" s="19"/>
    </row>
    <row r="10" spans="1:16">
      <c r="A10" s="24" t="s">
        <v>213</v>
      </c>
      <c r="B10" s="25">
        <f ca="1">'EF ele_warmte'!B12</f>
        <v>0.19912325310553766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7100.0774229464678</v>
      </c>
      <c r="C12" s="23">
        <f ca="1">C10*C8</f>
        <v>0</v>
      </c>
      <c r="D12" s="23">
        <f>D8*D10</f>
        <v>24365.527220487202</v>
      </c>
      <c r="E12" s="23">
        <f>E10*E8</f>
        <v>368.98550134460493</v>
      </c>
      <c r="F12" s="23">
        <f>F10*F8</f>
        <v>6996.7386084857526</v>
      </c>
      <c r="G12" s="23"/>
      <c r="H12" s="23"/>
      <c r="I12" s="23"/>
      <c r="J12" s="23">
        <f>J10*J8</f>
        <v>37.059507276130262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9403</v>
      </c>
      <c r="C26" s="36"/>
      <c r="D26" s="226"/>
    </row>
    <row r="27" spans="1:7" s="15" customFormat="1">
      <c r="A27" s="228" t="s">
        <v>806</v>
      </c>
      <c r="B27" s="37">
        <f>SUM(HH_hh_gas_aantal,HH_rest_gas_aantal)</f>
        <v>7810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7419.5</v>
      </c>
      <c r="C31" s="166" t="s">
        <v>110</v>
      </c>
      <c r="D31" s="231"/>
      <c r="G31" s="15"/>
    </row>
    <row r="32" spans="1:7">
      <c r="A32" s="169" t="s">
        <v>72</v>
      </c>
      <c r="B32" s="166">
        <f>IF((B21*($B$26-($B$27-0.05*$B$27)-$B$60))&lt;0,0,B21*($B$26-($B$27-0.05*$B$27)-$B$60))</f>
        <v>29.916811938719938</v>
      </c>
      <c r="C32" s="166" t="s">
        <v>110</v>
      </c>
      <c r="D32" s="231"/>
      <c r="G32" s="15"/>
    </row>
    <row r="33" spans="1:7">
      <c r="A33" s="169" t="s">
        <v>73</v>
      </c>
      <c r="B33" s="166">
        <f>IF((B22*($B$26-($B$27-0.05*$B$27)-$B$60))&lt;0,0,B22*($B$26-($B$27-0.05*$B$27)-$B$60))</f>
        <v>485.78977498843597</v>
      </c>
      <c r="C33" s="166" t="s">
        <v>110</v>
      </c>
      <c r="D33" s="231"/>
      <c r="G33" s="15"/>
    </row>
    <row r="34" spans="1:7">
      <c r="A34" s="169" t="s">
        <v>74</v>
      </c>
      <c r="B34" s="166">
        <f>IF((B24*($B$26-($B$27-0.05*$B$27)-$B$60))&lt;0,0,B24*($B$26-($B$27-0.05*$B$27)-$B$60))</f>
        <v>93.13240092950511</v>
      </c>
      <c r="C34" s="166">
        <f>B26*C24</f>
        <v>1926.7305520009349</v>
      </c>
      <c r="D34" s="231"/>
      <c r="G34" s="15"/>
    </row>
    <row r="35" spans="1:7">
      <c r="A35" s="169" t="s">
        <v>76</v>
      </c>
      <c r="B35" s="166">
        <f>IF((B19*($B$26-($B$27-0.05*$B$27)-$B$60))&lt;0,0,B19*($B$26-($B$27-0.05*$B$27)-$B$60))</f>
        <v>13.004766826129668</v>
      </c>
      <c r="C35" s="166">
        <f>B35/2</f>
        <v>6.5023834130648339</v>
      </c>
      <c r="D35" s="232"/>
      <c r="G35" s="15"/>
    </row>
    <row r="36" spans="1:7">
      <c r="A36" s="169" t="s">
        <v>77</v>
      </c>
      <c r="B36" s="166">
        <f>IF((B18*($B$26-($B$27-0.05*$B$27)-$B$60))&lt;0,0,B18*($B$26-($B$27-0.05*$B$27)-$B$60))</f>
        <v>1262.6562453172089</v>
      </c>
      <c r="C36" s="166" t="s">
        <v>110</v>
      </c>
      <c r="D36" s="232"/>
      <c r="G36" s="15"/>
    </row>
    <row r="37" spans="1:7">
      <c r="A37" s="169" t="s">
        <v>78</v>
      </c>
      <c r="B37" s="166">
        <f>B60</f>
        <v>99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283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14119.172265000003</v>
      </c>
      <c r="C5" s="17">
        <f>IF(ISERROR('Eigen informatie GS &amp; warmtenet'!B60),0,'Eigen informatie GS &amp; warmtenet'!B60)</f>
        <v>0</v>
      </c>
      <c r="D5" s="30">
        <f>SUM(D6:D12)</f>
        <v>18703.826063845998</v>
      </c>
      <c r="E5" s="17">
        <f>SUM(E6:E12)</f>
        <v>172.67396001057605</v>
      </c>
      <c r="F5" s="17">
        <f>SUM(F6:F12)</f>
        <v>1653.6331332470295</v>
      </c>
      <c r="G5" s="18"/>
      <c r="H5" s="17"/>
      <c r="I5" s="17"/>
      <c r="J5" s="17">
        <f>SUM(J6:J12)</f>
        <v>5.1481192805911603E-2</v>
      </c>
      <c r="K5" s="17"/>
      <c r="L5" s="17"/>
      <c r="M5" s="17"/>
      <c r="N5" s="17">
        <f>SUM(N6:N12)</f>
        <v>2021.0058499898626</v>
      </c>
      <c r="O5" s="17">
        <f>B38*B39*B40</f>
        <v>9.7945215316823084</v>
      </c>
      <c r="P5" s="17">
        <f>B46*B47*B48/1000-B46*B47*B48/1000/B49</f>
        <v>210.15655322598008</v>
      </c>
      <c r="R5" s="32"/>
    </row>
    <row r="6" spans="1:18">
      <c r="A6" s="32" t="s">
        <v>53</v>
      </c>
      <c r="B6" s="37">
        <f>B26</f>
        <v>3301.66635</v>
      </c>
      <c r="C6" s="33"/>
      <c r="D6" s="37">
        <f>IF(ISERROR(TER_kantoor_gas_kWh/1000),0,TER_kantoor_gas_kWh/1000)*0.902</f>
        <v>8201.9976432459989</v>
      </c>
      <c r="E6" s="33">
        <f>$C$26*'E Balans VL '!I12/100/3.6*1000000</f>
        <v>26.567450520819335</v>
      </c>
      <c r="F6" s="33">
        <f>$C$26*('E Balans VL '!L12+'E Balans VL '!N12)/100/3.6*1000000</f>
        <v>403.66344370552088</v>
      </c>
      <c r="G6" s="34"/>
      <c r="H6" s="33"/>
      <c r="I6" s="33"/>
      <c r="J6" s="33">
        <f>$C$26*('E Balans VL '!D12+'E Balans VL '!E12)/100/3.6*1000000</f>
        <v>0</v>
      </c>
      <c r="K6" s="33"/>
      <c r="L6" s="33"/>
      <c r="M6" s="33"/>
      <c r="N6" s="33">
        <f>$C$26*'E Balans VL '!Y12/100/3.6*1000000</f>
        <v>1.7744830736550521</v>
      </c>
      <c r="O6" s="33"/>
      <c r="P6" s="33"/>
      <c r="R6" s="32"/>
    </row>
    <row r="7" spans="1:18">
      <c r="A7" s="32" t="s">
        <v>52</v>
      </c>
      <c r="B7" s="37">
        <f t="shared" ref="B7:B12" si="0">B27</f>
        <v>2051.1599150000002</v>
      </c>
      <c r="C7" s="33"/>
      <c r="D7" s="37">
        <f>IF(ISERROR(TER_horeca_gas_kWh/1000),0,TER_horeca_gas_kWh/1000)*0.902</f>
        <v>3114.6255734000001</v>
      </c>
      <c r="E7" s="33">
        <f>$C$27*'E Balans VL '!I9/100/3.6*1000000</f>
        <v>22.024420718918218</v>
      </c>
      <c r="F7" s="33">
        <f>$C$27*('E Balans VL '!L9+'E Balans VL '!N9)/100/3.6*1000000</f>
        <v>246.70479982803144</v>
      </c>
      <c r="G7" s="34"/>
      <c r="H7" s="33"/>
      <c r="I7" s="33"/>
      <c r="J7" s="33">
        <f>$C$27*('E Balans VL '!D9+'E Balans VL '!E9)/100/3.6*1000000</f>
        <v>0</v>
      </c>
      <c r="K7" s="33"/>
      <c r="L7" s="33"/>
      <c r="M7" s="33"/>
      <c r="N7" s="33">
        <f>$C$27*'E Balans VL '!Y9/100/3.6*1000000</f>
        <v>0.30751044344350731</v>
      </c>
      <c r="O7" s="33"/>
      <c r="P7" s="33"/>
      <c r="R7" s="32"/>
    </row>
    <row r="8" spans="1:18">
      <c r="A8" s="6" t="s">
        <v>51</v>
      </c>
      <c r="B8" s="37">
        <f t="shared" si="0"/>
        <v>4221.8440000000001</v>
      </c>
      <c r="C8" s="33"/>
      <c r="D8" s="37">
        <f>IF(ISERROR(TER_handel_gas_kWh/1000),0,TER_handel_gas_kWh/1000)*0.902</f>
        <v>2447.7002132000002</v>
      </c>
      <c r="E8" s="33">
        <f>$C$28*'E Balans VL '!I13/100/3.6*1000000</f>
        <v>113.30136790997726</v>
      </c>
      <c r="F8" s="33">
        <f>$C$28*('E Balans VL '!L13+'E Balans VL '!N13)/100/3.6*1000000</f>
        <v>402.89403818720729</v>
      </c>
      <c r="G8" s="34"/>
      <c r="H8" s="33"/>
      <c r="I8" s="33"/>
      <c r="J8" s="33">
        <f>$C$28*('E Balans VL '!D13+'E Balans VL '!E13)/100/3.6*1000000</f>
        <v>0</v>
      </c>
      <c r="K8" s="33"/>
      <c r="L8" s="33"/>
      <c r="M8" s="33"/>
      <c r="N8" s="33">
        <f>$C$28*'E Balans VL '!Y13/100/3.6*1000000</f>
        <v>1.6735869655937192</v>
      </c>
      <c r="O8" s="33"/>
      <c r="P8" s="33"/>
      <c r="R8" s="32"/>
    </row>
    <row r="9" spans="1:18">
      <c r="A9" s="32" t="s">
        <v>50</v>
      </c>
      <c r="B9" s="37">
        <f t="shared" si="0"/>
        <v>1373.4659999999999</v>
      </c>
      <c r="C9" s="33"/>
      <c r="D9" s="37">
        <f>IF(ISERROR(TER_gezond_gas_kWh/1000),0,TER_gezond_gas_kWh/1000)*0.902</f>
        <v>3060.8287600000003</v>
      </c>
      <c r="E9" s="33">
        <f>$C$29*'E Balans VL '!I10/100/3.6*1000000</f>
        <v>2.5743225039495887</v>
      </c>
      <c r="F9" s="33">
        <f>$C$29*('E Balans VL '!L10+'E Balans VL '!N10)/100/3.6*1000000</f>
        <v>112.91143711162468</v>
      </c>
      <c r="G9" s="34"/>
      <c r="H9" s="33"/>
      <c r="I9" s="33"/>
      <c r="J9" s="33">
        <f>$C$29*('E Balans VL '!D10+'E Balans VL '!E10)/100/3.6*1000000</f>
        <v>0</v>
      </c>
      <c r="K9" s="33"/>
      <c r="L9" s="33"/>
      <c r="M9" s="33"/>
      <c r="N9" s="33">
        <f>$C$29*'E Balans VL '!Y10/100/3.6*1000000</f>
        <v>10.68659023287962</v>
      </c>
      <c r="O9" s="33"/>
      <c r="P9" s="33"/>
      <c r="R9" s="32"/>
    </row>
    <row r="10" spans="1:18">
      <c r="A10" s="32" t="s">
        <v>49</v>
      </c>
      <c r="B10" s="37">
        <f t="shared" si="0"/>
        <v>3032.5770000000002</v>
      </c>
      <c r="C10" s="33"/>
      <c r="D10" s="37">
        <f>IF(ISERROR(TER_ander_gas_kWh/1000),0,TER_ander_gas_kWh/1000)*0.902</f>
        <v>1400.1664820000001</v>
      </c>
      <c r="E10" s="33">
        <f>$C$30*'E Balans VL '!I14/100/3.6*1000000</f>
        <v>4.6747481741279442</v>
      </c>
      <c r="F10" s="33">
        <f>$C$30*('E Balans VL '!L14+'E Balans VL '!N14)/100/3.6*1000000</f>
        <v>470.80841643890847</v>
      </c>
      <c r="G10" s="34"/>
      <c r="H10" s="33"/>
      <c r="I10" s="33"/>
      <c r="J10" s="33">
        <f>$C$30*('E Balans VL '!D14+'E Balans VL '!E14)/100/3.6*1000000</f>
        <v>5.1481192805911603E-2</v>
      </c>
      <c r="K10" s="33"/>
      <c r="L10" s="33"/>
      <c r="M10" s="33"/>
      <c r="N10" s="33">
        <f>$C$30*'E Balans VL '!Y14/100/3.6*1000000</f>
        <v>2006.2557498367194</v>
      </c>
      <c r="O10" s="33"/>
      <c r="P10" s="33"/>
      <c r="R10" s="32"/>
    </row>
    <row r="11" spans="1:18">
      <c r="A11" s="32" t="s">
        <v>54</v>
      </c>
      <c r="B11" s="37">
        <f t="shared" si="0"/>
        <v>138.459</v>
      </c>
      <c r="C11" s="33"/>
      <c r="D11" s="37">
        <f>IF(ISERROR(TER_onderwijs_gas_kWh/1000),0,TER_onderwijs_gas_kWh/1000)*0.902</f>
        <v>478.50739199999998</v>
      </c>
      <c r="E11" s="33">
        <f>$C$31*'E Balans VL '!I11/100/3.6*1000000</f>
        <v>3.5316501827837059</v>
      </c>
      <c r="F11" s="33">
        <f>$C$31*('E Balans VL '!L11+'E Balans VL '!N11)/100/3.6*1000000</f>
        <v>16.650997975736573</v>
      </c>
      <c r="G11" s="34"/>
      <c r="H11" s="33"/>
      <c r="I11" s="33"/>
      <c r="J11" s="33">
        <f>$C$31*('E Balans VL '!D11+'E Balans VL '!E11)/100/3.6*1000000</f>
        <v>0</v>
      </c>
      <c r="K11" s="33"/>
      <c r="L11" s="33"/>
      <c r="M11" s="33"/>
      <c r="N11" s="33">
        <f>$C$31*'E Balans VL '!Y11/100/3.6*1000000</f>
        <v>0.30792943757128921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14119.172265000003</v>
      </c>
      <c r="C16" s="21">
        <f t="shared" ca="1" si="1"/>
        <v>0</v>
      </c>
      <c r="D16" s="21">
        <f t="shared" ca="1" si="1"/>
        <v>18703.826063845998</v>
      </c>
      <c r="E16" s="21">
        <f t="shared" si="1"/>
        <v>172.67396001057605</v>
      </c>
      <c r="F16" s="21">
        <f t="shared" ca="1" si="1"/>
        <v>1653.6331332470295</v>
      </c>
      <c r="G16" s="21">
        <f t="shared" si="1"/>
        <v>0</v>
      </c>
      <c r="H16" s="21">
        <f t="shared" si="1"/>
        <v>0</v>
      </c>
      <c r="I16" s="21">
        <f t="shared" si="1"/>
        <v>0</v>
      </c>
      <c r="J16" s="21">
        <f t="shared" si="1"/>
        <v>5.1481192805911603E-2</v>
      </c>
      <c r="K16" s="21">
        <f t="shared" si="1"/>
        <v>0</v>
      </c>
      <c r="L16" s="21">
        <f t="shared" ca="1" si="1"/>
        <v>0</v>
      </c>
      <c r="M16" s="21">
        <f t="shared" si="1"/>
        <v>0</v>
      </c>
      <c r="N16" s="21">
        <f t="shared" ca="1" si="1"/>
        <v>2021.0058499898626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0.19912325310553766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2811.4555125642833</v>
      </c>
      <c r="C20" s="23">
        <f t="shared" ref="C20:P20" ca="1" si="2">C16*C18</f>
        <v>0</v>
      </c>
      <c r="D20" s="23">
        <f t="shared" ca="1" si="2"/>
        <v>3778.172864896892</v>
      </c>
      <c r="E20" s="23">
        <f t="shared" si="2"/>
        <v>39.196988922400763</v>
      </c>
      <c r="F20" s="23">
        <f t="shared" ca="1" si="2"/>
        <v>441.52004657695687</v>
      </c>
      <c r="G20" s="23">
        <f t="shared" si="2"/>
        <v>0</v>
      </c>
      <c r="H20" s="23">
        <f t="shared" si="2"/>
        <v>0</v>
      </c>
      <c r="I20" s="23">
        <f t="shared" si="2"/>
        <v>0</v>
      </c>
      <c r="J20" s="23">
        <f t="shared" si="2"/>
        <v>1.8224342253292707E-2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3301.66635</v>
      </c>
      <c r="C26" s="39">
        <f>IF(ISERROR(B26*3.6/1000000/'E Balans VL '!Z12*100),0,B26*3.6/1000000/'E Balans VL '!Z12*100)</f>
        <v>7.004183093741527E-2</v>
      </c>
      <c r="D26" s="235" t="s">
        <v>698</v>
      </c>
      <c r="F26" s="6"/>
    </row>
    <row r="27" spans="1:18">
      <c r="A27" s="229" t="s">
        <v>52</v>
      </c>
      <c r="B27" s="33">
        <f>IF(ISERROR(TER_horeca_ele_kWh/1000),0,TER_horeca_ele_kWh/1000)</f>
        <v>2051.1599150000002</v>
      </c>
      <c r="C27" s="39">
        <f>IF(ISERROR(B27*3.6/1000000/'E Balans VL '!Z9*100),0,B27*3.6/1000000/'E Balans VL '!Z9*100)</f>
        <v>0.15447051181305768</v>
      </c>
      <c r="D27" s="235" t="s">
        <v>698</v>
      </c>
      <c r="F27" s="6"/>
    </row>
    <row r="28" spans="1:18">
      <c r="A28" s="169" t="s">
        <v>51</v>
      </c>
      <c r="B28" s="33">
        <f>IF(ISERROR(TER_handel_ele_kWh/1000),0,TER_handel_ele_kWh/1000)</f>
        <v>4221.8440000000001</v>
      </c>
      <c r="C28" s="39">
        <f>IF(ISERROR(B28*3.6/1000000/'E Balans VL '!Z13*100),0,B28*3.6/1000000/'E Balans VL '!Z13*100)</f>
        <v>0.12254517215956734</v>
      </c>
      <c r="D28" s="235" t="s">
        <v>698</v>
      </c>
      <c r="F28" s="6"/>
    </row>
    <row r="29" spans="1:18">
      <c r="A29" s="229" t="s">
        <v>50</v>
      </c>
      <c r="B29" s="33">
        <f>IF(ISERROR(TER_gezond_ele_kWh/1000),0,TER_gezond_ele_kWh/1000)</f>
        <v>1373.4659999999999</v>
      </c>
      <c r="C29" s="39">
        <f>IF(ISERROR(B29*3.6/1000000/'E Balans VL '!Z10*100),0,B29*3.6/1000000/'E Balans VL '!Z10*100)</f>
        <v>0.13851568402491624</v>
      </c>
      <c r="D29" s="235" t="s">
        <v>698</v>
      </c>
      <c r="F29" s="6"/>
    </row>
    <row r="30" spans="1:18">
      <c r="A30" s="229" t="s">
        <v>49</v>
      </c>
      <c r="B30" s="33">
        <f>IF(ISERROR(TER_ander_ele_kWh/1000),0,TER_ander_ele_kWh/1000)</f>
        <v>3032.5770000000002</v>
      </c>
      <c r="C30" s="39">
        <f>IF(ISERROR(B30*3.6/1000000/'E Balans VL '!Z14*100),0,B30*3.6/1000000/'E Balans VL '!Z14*100)</f>
        <v>0.22005483328603478</v>
      </c>
      <c r="D30" s="235" t="s">
        <v>698</v>
      </c>
      <c r="F30" s="6"/>
    </row>
    <row r="31" spans="1:18">
      <c r="A31" s="229" t="s">
        <v>54</v>
      </c>
      <c r="B31" s="33">
        <f>IF(ISERROR(TER_onderwijs_ele_kWh/1000),0,TER_onderwijs_ele_kWh/1000)</f>
        <v>138.459</v>
      </c>
      <c r="C31" s="39">
        <f>IF(ISERROR(B31*3.6/1000000/'E Balans VL '!Z11*100),0,B31*3.6/1000000/'E Balans VL '!Z11*100)</f>
        <v>3.9466453313020303E-2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6854.9625999999989</v>
      </c>
      <c r="C5" s="17">
        <f>IF(ISERROR('Eigen informatie GS &amp; warmtenet'!B61),0,'Eigen informatie GS &amp; warmtenet'!B61)</f>
        <v>0</v>
      </c>
      <c r="D5" s="30">
        <f>SUM(D6:D15)</f>
        <v>16179.149465600001</v>
      </c>
      <c r="E5" s="17">
        <f>SUM(E6:E15)</f>
        <v>1409.5450750790365</v>
      </c>
      <c r="F5" s="17">
        <f>SUM(F6:F15)</f>
        <v>4306.8603853754039</v>
      </c>
      <c r="G5" s="18"/>
      <c r="H5" s="17"/>
      <c r="I5" s="17"/>
      <c r="J5" s="17">
        <f>SUM(J6:J15)</f>
        <v>30.197117912339742</v>
      </c>
      <c r="K5" s="17"/>
      <c r="L5" s="17"/>
      <c r="M5" s="17"/>
      <c r="N5" s="17">
        <f>SUM(N6:N15)</f>
        <v>460.84975153516399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130.73599999999999</v>
      </c>
      <c r="C8" s="33"/>
      <c r="D8" s="37">
        <f>IF( ISERROR(IND_metaal_Gas_kWH/1000),0,IND_metaal_Gas_kWH/1000)*0.902</f>
        <v>86.701142000000004</v>
      </c>
      <c r="E8" s="33">
        <f>C30*'E Balans VL '!I18/100/3.6*1000000</f>
        <v>0.94316848089943439</v>
      </c>
      <c r="F8" s="33">
        <f>C30*'E Balans VL '!L18/100/3.6*1000000+C30*'E Balans VL '!N18/100/3.6*1000000</f>
        <v>12.365214997023248</v>
      </c>
      <c r="G8" s="34"/>
      <c r="H8" s="33"/>
      <c r="I8" s="33"/>
      <c r="J8" s="40">
        <f>C30*'E Balans VL '!D18/100/3.6*1000000+C30*'E Balans VL '!E18/100/3.6*1000000</f>
        <v>0.13149502853279701</v>
      </c>
      <c r="K8" s="33"/>
      <c r="L8" s="33"/>
      <c r="M8" s="33"/>
      <c r="N8" s="33">
        <f>C30*'E Balans VL '!Y18/100/3.6*1000000</f>
        <v>1.6528489333071807</v>
      </c>
      <c r="O8" s="33"/>
      <c r="P8" s="33"/>
      <c r="R8" s="32"/>
    </row>
    <row r="9" spans="1:18">
      <c r="A9" s="6" t="s">
        <v>32</v>
      </c>
      <c r="B9" s="37">
        <f t="shared" si="0"/>
        <v>5063.8675999999996</v>
      </c>
      <c r="C9" s="33"/>
      <c r="D9" s="37">
        <f>IF( ISERROR(IND_andere_gas_kWh/1000),0,IND_andere_gas_kWh/1000)*0.902</f>
        <v>14800.159237600001</v>
      </c>
      <c r="E9" s="33">
        <f>C31*'E Balans VL '!I19/100/3.6*1000000</f>
        <v>1403.2654243529716</v>
      </c>
      <c r="F9" s="33">
        <f>C31*'E Balans VL '!L19/100/3.6*1000000+C31*'E Balans VL '!N19/100/3.6*1000000</f>
        <v>4196.9444099822213</v>
      </c>
      <c r="G9" s="34"/>
      <c r="H9" s="33"/>
      <c r="I9" s="33"/>
      <c r="J9" s="40">
        <f>C31*'E Balans VL '!D19/100/3.6*1000000+C31*'E Balans VL '!E19/100/3.6*1000000</f>
        <v>0</v>
      </c>
      <c r="K9" s="33"/>
      <c r="L9" s="33"/>
      <c r="M9" s="33"/>
      <c r="N9" s="33">
        <f>C31*'E Balans VL '!Y19/100/3.6*1000000</f>
        <v>367.57484995397266</v>
      </c>
      <c r="O9" s="33"/>
      <c r="P9" s="33"/>
      <c r="R9" s="32"/>
    </row>
    <row r="10" spans="1:18">
      <c r="A10" s="6" t="s">
        <v>40</v>
      </c>
      <c r="B10" s="37">
        <f t="shared" si="0"/>
        <v>1327.056</v>
      </c>
      <c r="C10" s="33"/>
      <c r="D10" s="37">
        <f>IF( ISERROR(IND_voed_gas_kWh/1000),0,IND_voed_gas_kWh/1000)*0.902</f>
        <v>1231.80277</v>
      </c>
      <c r="E10" s="33">
        <f>C32*'E Balans VL '!I20/100/3.6*1000000</f>
        <v>2.3493386226861044</v>
      </c>
      <c r="F10" s="33">
        <f>C32*'E Balans VL '!L20/100/3.6*1000000+C32*'E Balans VL '!N20/100/3.6*1000000</f>
        <v>71.672785591824791</v>
      </c>
      <c r="G10" s="34"/>
      <c r="H10" s="33"/>
      <c r="I10" s="33"/>
      <c r="J10" s="40">
        <f>C32*'E Balans VL '!D20/100/3.6*1000000+C32*'E Balans VL '!E20/100/3.6*1000000</f>
        <v>0</v>
      </c>
      <c r="K10" s="33"/>
      <c r="L10" s="33"/>
      <c r="M10" s="33"/>
      <c r="N10" s="33">
        <f>C32*'E Balans VL '!Y20/100/3.6*1000000</f>
        <v>77.112088452961274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58.656999999999996</v>
      </c>
      <c r="C12" s="33"/>
      <c r="D12" s="37">
        <f>IF( ISERROR(IND_min_gas_kWh/1000),0,IND_min_gas_kWh/1000)*0.902</f>
        <v>0</v>
      </c>
      <c r="E12" s="33">
        <f>C34*'E Balans VL '!I22/100/3.6*1000000</f>
        <v>2.583045048487516</v>
      </c>
      <c r="F12" s="33">
        <f>C34*'E Balans VL '!L22/100/3.6*1000000+C34*'E Balans VL '!N22/100/3.6*1000000</f>
        <v>22.93725589576837</v>
      </c>
      <c r="G12" s="34"/>
      <c r="H12" s="33"/>
      <c r="I12" s="33"/>
      <c r="J12" s="40">
        <f>C34*'E Balans VL '!D22/100/3.6*1000000+C34*'E Balans VL '!E22/100/3.6*1000000</f>
        <v>1.7810349632863355E-2</v>
      </c>
      <c r="K12" s="33"/>
      <c r="L12" s="33"/>
      <c r="M12" s="33"/>
      <c r="N12" s="33">
        <f>C34*'E Balans VL '!Y22/100/3.6*1000000</f>
        <v>14.509964194922947</v>
      </c>
      <c r="O12" s="33"/>
      <c r="P12" s="33"/>
      <c r="R12" s="32"/>
    </row>
    <row r="13" spans="1:18">
      <c r="A13" s="6" t="s">
        <v>38</v>
      </c>
      <c r="B13" s="37">
        <f t="shared" si="0"/>
        <v>274.64600000000002</v>
      </c>
      <c r="C13" s="33"/>
      <c r="D13" s="37">
        <f>IF( ISERROR(IND_papier_gas_kWh/1000),0,IND_papier_gas_kWh/1000)*0.902</f>
        <v>0</v>
      </c>
      <c r="E13" s="33">
        <f>C35*'E Balans VL '!I23/100/3.6*1000000</f>
        <v>0.4040985739918409</v>
      </c>
      <c r="F13" s="33">
        <f>C35*'E Balans VL '!L23/100/3.6*1000000+C35*'E Balans VL '!N23/100/3.6*1000000</f>
        <v>2.9407189085662608</v>
      </c>
      <c r="G13" s="34"/>
      <c r="H13" s="33"/>
      <c r="I13" s="33"/>
      <c r="J13" s="40">
        <f>C35*'E Balans VL '!D23/100/3.6*1000000+C35*'E Balans VL '!E23/100/3.6*1000000</f>
        <v>30.047812534174081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60.486316000000009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6854.9625999999989</v>
      </c>
      <c r="C18" s="21">
        <f>C5+C16</f>
        <v>0</v>
      </c>
      <c r="D18" s="21">
        <f>MAX((D5+D16),0)</f>
        <v>16179.149465600001</v>
      </c>
      <c r="E18" s="21">
        <f>MAX((E5+E16),0)</f>
        <v>1409.5450750790365</v>
      </c>
      <c r="F18" s="21">
        <f>MAX((F5+F16),0)</f>
        <v>4306.8603853754039</v>
      </c>
      <c r="G18" s="21"/>
      <c r="H18" s="21"/>
      <c r="I18" s="21"/>
      <c r="J18" s="21">
        <f>MAX((J5+J16),0)</f>
        <v>30.197117912339742</v>
      </c>
      <c r="K18" s="21"/>
      <c r="L18" s="21">
        <f>MAX((L5+L16),0)</f>
        <v>0</v>
      </c>
      <c r="M18" s="21"/>
      <c r="N18" s="21">
        <f>MAX((N5+N16),0)</f>
        <v>460.84975153516399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0.19912325310553766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1364.9824528287943</v>
      </c>
      <c r="C22" s="23">
        <f ca="1">C18*C20</f>
        <v>0</v>
      </c>
      <c r="D22" s="23">
        <f>D18*D20</f>
        <v>3268.1881920512005</v>
      </c>
      <c r="E22" s="23">
        <f>E18*E20</f>
        <v>319.96673204294126</v>
      </c>
      <c r="F22" s="23">
        <f>F18*F20</f>
        <v>1149.931722895233</v>
      </c>
      <c r="G22" s="23"/>
      <c r="H22" s="23"/>
      <c r="I22" s="23"/>
      <c r="J22" s="23">
        <f>J18*J20</f>
        <v>10.689779740968268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130.73599999999999</v>
      </c>
      <c r="C30" s="39">
        <f>IF(ISERROR(B30*3.6/1000000/'E Balans VL '!Z18*100),0,B30*3.6/1000000/'E Balans VL '!Z18*100)</f>
        <v>7.5471852863873016E-3</v>
      </c>
      <c r="D30" s="235" t="s">
        <v>698</v>
      </c>
    </row>
    <row r="31" spans="1:18">
      <c r="A31" s="6" t="s">
        <v>32</v>
      </c>
      <c r="B31" s="37">
        <f>IF( ISERROR(IND_ander_ele_kWh/1000),0,IND_ander_ele_kWh/1000)</f>
        <v>5063.8675999999996</v>
      </c>
      <c r="C31" s="39">
        <f>IF(ISERROR(B31*3.6/1000000/'E Balans VL '!Z19*100),0,B31*3.6/1000000/'E Balans VL '!Z19*100)</f>
        <v>0.25469612638873651</v>
      </c>
      <c r="D31" s="235" t="s">
        <v>698</v>
      </c>
    </row>
    <row r="32" spans="1:18">
      <c r="A32" s="169" t="s">
        <v>40</v>
      </c>
      <c r="B32" s="37">
        <f>IF( ISERROR(IND_voed_ele_kWh/1000),0,IND_voed_ele_kWh/1000)</f>
        <v>1327.056</v>
      </c>
      <c r="C32" s="39">
        <f>IF(ISERROR(B32*3.6/1000000/'E Balans VL '!Z20*100),0,B32*3.6/1000000/'E Balans VL '!Z20*100)</f>
        <v>4.4198845187751176E-2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58.656999999999996</v>
      </c>
      <c r="C34" s="39">
        <f>IF(ISERROR(B34*3.6/1000000/'E Balans VL '!Z22*100),0,B34*3.6/1000000/'E Balans VL '!Z22*100)</f>
        <v>1.0941511719847218E-2</v>
      </c>
      <c r="D34" s="235" t="s">
        <v>698</v>
      </c>
    </row>
    <row r="35" spans="1:5">
      <c r="A35" s="169" t="s">
        <v>38</v>
      </c>
      <c r="B35" s="37">
        <f>IF( ISERROR(IND_papier_ele_kWh/1000),0,IND_papier_ele_kWh/1000)</f>
        <v>274.64600000000002</v>
      </c>
      <c r="C35" s="39">
        <f>IF(ISERROR(B35*3.6/1000000/'E Balans VL '!Z22*100),0,B35*3.6/1000000/'E Balans VL '!Z22*100)</f>
        <v>5.1230755541694248E-2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723.85799999999995</v>
      </c>
      <c r="C5" s="17">
        <f>'Eigen informatie GS &amp; warmtenet'!B62</f>
        <v>0</v>
      </c>
      <c r="D5" s="30">
        <f>IF(ISERROR(SUM(LB_lb_gas_kWh,LB_rest_gas_kWh)/1000),0,SUM(LB_lb_gas_kWh,LB_rest_gas_kWh)/1000)*0.902</f>
        <v>235.30383800000004</v>
      </c>
      <c r="E5" s="17">
        <f>B17*'E Balans VL '!I25/3.6*1000000/100</f>
        <v>22.591369481079383</v>
      </c>
      <c r="F5" s="17">
        <f>B17*('E Balans VL '!L25/3.6*1000000+'E Balans VL '!N25/3.6*1000000)/100</f>
        <v>2558.1943588261206</v>
      </c>
      <c r="G5" s="18"/>
      <c r="H5" s="17"/>
      <c r="I5" s="17"/>
      <c r="J5" s="17">
        <f>('E Balans VL '!D25+'E Balans VL '!E25)/3.6*1000000*landbouw!B17/100</f>
        <v>199.42789891123581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723.85799999999995</v>
      </c>
      <c r="C8" s="21">
        <f>C5+C6</f>
        <v>0</v>
      </c>
      <c r="D8" s="21">
        <f>MAX((D5+D6),0)</f>
        <v>235.30383800000004</v>
      </c>
      <c r="E8" s="21">
        <f>MAX((E5+E6),0)</f>
        <v>22.591369481079383</v>
      </c>
      <c r="F8" s="21">
        <f>MAX((F5+F6),0)</f>
        <v>2558.1943588261206</v>
      </c>
      <c r="G8" s="21"/>
      <c r="H8" s="21"/>
      <c r="I8" s="21"/>
      <c r="J8" s="21">
        <f>MAX((J5+J6),0)</f>
        <v>199.42789891123581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0.19912325310553766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144.13695974646828</v>
      </c>
      <c r="C12" s="23">
        <f ca="1">C8*C10</f>
        <v>0</v>
      </c>
      <c r="D12" s="23">
        <f>D8*D10</f>
        <v>47.531375276000013</v>
      </c>
      <c r="E12" s="23">
        <f>E8*E10</f>
        <v>5.1282408722050201</v>
      </c>
      <c r="F12" s="23">
        <f>F8*F10</f>
        <v>683.03789380657429</v>
      </c>
      <c r="G12" s="23"/>
      <c r="H12" s="23"/>
      <c r="I12" s="23"/>
      <c r="J12" s="23">
        <f>J8*J10</f>
        <v>70.597476214577469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0.10760668080566739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204.85755481466433</v>
      </c>
      <c r="C26" s="245">
        <f>B26*'GWP N2O_CH4'!B5</f>
        <v>4302.0086511079508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43.255081691913375</v>
      </c>
      <c r="C27" s="245">
        <f>B27*'GWP N2O_CH4'!B5</f>
        <v>908.35671553018085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2.3826530805628607</v>
      </c>
      <c r="C28" s="245">
        <f>B28*'GWP N2O_CH4'!B4</f>
        <v>738.6224549744868</v>
      </c>
      <c r="D28" s="50"/>
    </row>
    <row r="29" spans="1:4">
      <c r="A29" s="41" t="s">
        <v>271</v>
      </c>
      <c r="B29" s="245">
        <f>B34*'ha_N2O bodem landbouw'!B4</f>
        <v>10.233251977216241</v>
      </c>
      <c r="C29" s="245">
        <f>B29*'GWP N2O_CH4'!B4</f>
        <v>3172.3081129370348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2.2439679130443996E-3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2.8837454740069399E-4</v>
      </c>
      <c r="C5" s="433" t="s">
        <v>210</v>
      </c>
      <c r="D5" s="418">
        <f>SUM(D6:D11)</f>
        <v>5.0690365747641723E-4</v>
      </c>
      <c r="E5" s="418">
        <f>SUM(E6:E11)</f>
        <v>4.4030974619039588E-4</v>
      </c>
      <c r="F5" s="431" t="s">
        <v>210</v>
      </c>
      <c r="G5" s="418">
        <f>SUM(G6:G11)</f>
        <v>0.19713559333402417</v>
      </c>
      <c r="H5" s="418">
        <f>SUM(H6:H11)</f>
        <v>4.5080776417040572E-2</v>
      </c>
      <c r="I5" s="433" t="s">
        <v>210</v>
      </c>
      <c r="J5" s="433" t="s">
        <v>210</v>
      </c>
      <c r="K5" s="433" t="s">
        <v>210</v>
      </c>
      <c r="L5" s="433" t="s">
        <v>210</v>
      </c>
      <c r="M5" s="418">
        <f>SUM(M6:M11)</f>
        <v>1.4348060410394594E-2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2.3799091454561205E-4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4.0175180493185353E-4</v>
      </c>
      <c r="E6" s="884">
        <f>vkm_GW_PW*SUMIFS(TableVerdeelsleutelVkm[LPG],TableVerdeelsleutelVkm[Voertuigtype],"Lichte voertuigen")*SUMIFS(TableECFTransport[EnergieConsumptieFactor (PJ per km)],TableECFTransport[Index],CONCATENATE($A6,"_LPG_LPG"))</f>
        <v>3.5204403052249705E-4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0.10997171783620081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3.583632907219373E-2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8.7117163738009377E-3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1.5443511135196033E-6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5.8943563329516821E-2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8.1933442601791134E-7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3.3976472706750112E-3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4.8783322225018312E-5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1.051518525445637E-4</v>
      </c>
      <c r="E8" s="421">
        <f>vkm_NGW_PW*SUMIFS(TableVerdeelsleutelVkm[LPG],TableVerdeelsleutelVkm[Voertuigtype],"Lichte voertuigen")*SUMIFS(TableECFTransport[EnergieConsumptieFactor (PJ per km)],TableECFTransport[Index],CONCATENATE($A8,"_LPG_LPG"))</f>
        <v>8.8265715667898827E-5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2.5474552701823184E-2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9.2435921755735749E-3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2.0804248100225226E-3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5.5959516544004155E-8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2.7457594664833363E-3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3.58348472420444E-8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1.5827195589612254E-4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80.104040944637219</v>
      </c>
      <c r="C14" s="21"/>
      <c r="D14" s="21">
        <f t="shared" ref="D14:M14" si="0">((D5)*10^9/3600)+D12</f>
        <v>140.80657152122703</v>
      </c>
      <c r="E14" s="21">
        <f t="shared" si="0"/>
        <v>122.30826283066553</v>
      </c>
      <c r="F14" s="21"/>
      <c r="G14" s="21">
        <f t="shared" si="0"/>
        <v>54759.887037228931</v>
      </c>
      <c r="H14" s="21">
        <f t="shared" si="0"/>
        <v>12522.43789362238</v>
      </c>
      <c r="I14" s="21"/>
      <c r="J14" s="21"/>
      <c r="K14" s="21"/>
      <c r="L14" s="21"/>
      <c r="M14" s="21">
        <f t="shared" si="0"/>
        <v>3985.5723362207204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0.19912325310553766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15.950577219795349</v>
      </c>
      <c r="C18" s="23"/>
      <c r="D18" s="23">
        <f t="shared" ref="D18:M18" si="1">D14*D16</f>
        <v>28.442927447287861</v>
      </c>
      <c r="E18" s="23">
        <f t="shared" si="1"/>
        <v>27.763975662561077</v>
      </c>
      <c r="F18" s="23"/>
      <c r="G18" s="23">
        <f t="shared" si="1"/>
        <v>14620.889838940126</v>
      </c>
      <c r="H18" s="23">
        <f t="shared" si="1"/>
        <v>3118.0870355119728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4.5771156510232786E-5</v>
      </c>
      <c r="C50" s="315">
        <f t="shared" ref="C50:P50" si="2">SUM(C51:C52)</f>
        <v>0</v>
      </c>
      <c r="D50" s="315">
        <f t="shared" si="2"/>
        <v>0</v>
      </c>
      <c r="E50" s="315">
        <f t="shared" si="2"/>
        <v>0</v>
      </c>
      <c r="F50" s="315">
        <f t="shared" si="2"/>
        <v>0</v>
      </c>
      <c r="G50" s="315">
        <f t="shared" si="2"/>
        <v>3.3161892263531552E-3</v>
      </c>
      <c r="H50" s="315">
        <f t="shared" si="2"/>
        <v>0</v>
      </c>
      <c r="I50" s="315">
        <f t="shared" si="2"/>
        <v>0</v>
      </c>
      <c r="J50" s="315">
        <f t="shared" si="2"/>
        <v>0</v>
      </c>
      <c r="K50" s="315">
        <f t="shared" si="2"/>
        <v>0</v>
      </c>
      <c r="L50" s="315">
        <f t="shared" si="2"/>
        <v>0</v>
      </c>
      <c r="M50" s="315">
        <f t="shared" si="2"/>
        <v>1.8757353825752356E-4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4.5771156510232786E-5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3.3161892263531552E-3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1.8757353825752356E-4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12.71421014173133</v>
      </c>
      <c r="C54" s="21">
        <f t="shared" ref="C54:P54" si="3">(C50)*10^9/3600</f>
        <v>0</v>
      </c>
      <c r="D54" s="21">
        <f t="shared" si="3"/>
        <v>0</v>
      </c>
      <c r="E54" s="21">
        <f t="shared" si="3"/>
        <v>0</v>
      </c>
      <c r="F54" s="21">
        <f t="shared" si="3"/>
        <v>0</v>
      </c>
      <c r="G54" s="21">
        <f t="shared" si="3"/>
        <v>921.16367398698753</v>
      </c>
      <c r="H54" s="21">
        <f t="shared" si="3"/>
        <v>0</v>
      </c>
      <c r="I54" s="21">
        <f t="shared" si="3"/>
        <v>0</v>
      </c>
      <c r="J54" s="21">
        <f t="shared" si="3"/>
        <v>0</v>
      </c>
      <c r="K54" s="21">
        <f t="shared" si="3"/>
        <v>0</v>
      </c>
      <c r="L54" s="21">
        <f t="shared" si="3"/>
        <v>0</v>
      </c>
      <c r="M54" s="21">
        <f t="shared" si="3"/>
        <v>52.103760627089876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0.19912325310553766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2.5316948840889615</v>
      </c>
      <c r="C58" s="23">
        <f t="shared" ref="C58:P58" ca="1" si="4">C54*C56</f>
        <v>0</v>
      </c>
      <c r="D58" s="23">
        <f t="shared" si="4"/>
        <v>0</v>
      </c>
      <c r="E58" s="23">
        <f t="shared" si="4"/>
        <v>0</v>
      </c>
      <c r="F58" s="23">
        <f t="shared" si="4"/>
        <v>0</v>
      </c>
      <c r="G58" s="23">
        <f t="shared" si="4"/>
        <v>245.95070095452567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5894.4409487748189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5894.4409487748189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2021-06-29T14:40:18Z</dcterms:modified>
</cp:coreProperties>
</file>