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F6" i="17"/>
  <c r="B32" i="13"/>
  <c r="E5" i="13" s="1"/>
  <c r="B36" i="13"/>
  <c r="F5" i="13" s="1"/>
  <c r="B35" i="13"/>
  <c r="C35" i="13" s="1"/>
  <c r="J5" i="13" s="1"/>
  <c r="B34" i="13"/>
  <c r="N5" i="13" s="1"/>
  <c r="B33" i="13"/>
  <c r="P5" i="13"/>
  <c r="P8" i="13" s="1"/>
  <c r="Q11" i="14"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<sst xmlns="http://schemas.openxmlformats.org/spreadsheetml/2006/main" count="2484" uniqueCount="906">
  <si>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</si>
  <si>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</si>
  <si>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</si>
  <si>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</si>
  <si>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</si>
  <si>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</si>
  <si>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</si>
  <si>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</si>
  <si>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</si>
  <si>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</si>
  <si>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</si>
  <si>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</si>
  <si>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</si>
  <si>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</si>
  <si>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</si>
  <si>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</si>
  <si>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</si>
  <si>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</si>
  <si>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</si>
  <si>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</si>
  <si>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</si>
  <si>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</si>
  <si>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</si>
  <si>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</si>
  <si>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</si>
  <si>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</si>
  <si>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</si>
  <si>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</si>
  <si>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</si>
  <si>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</si>
  <si>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</si>
  <si>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</si>
  <si>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</si>
  <si>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</si>
  <si>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</si>
  <si>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</si>
  <si>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</si>
  <si>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</si>
  <si>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</si>
  <si>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</si>
  <si>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</si>
  <si>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</si>
  <si>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</si>
  <si>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</si>
  <si>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</si>
  <si>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</si>
  <si>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</si>
  <si>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</si>
  <si>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</si>
  <si>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</si>
  <si>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</si>
  <si>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</si>
  <si>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</si>
  <si>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</si>
  <si>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</si>
  <si>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</si>
  <si>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</si>
  <si>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</si>
  <si>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</si>
  <si>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</si>
  <si>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</si>
  <si>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</si>
  <si>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</si>
  <si>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</si>
  <si>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</si>
  <si>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</si>
  <si>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</si>
  <si>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</si>
  <si>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</si>
  <si>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</si>
  <si>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</si>
  <si>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</si>
  <si>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</si>
  <si>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</si>
  <si>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</si>
  <si>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</si>
  <si>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</si>
  <si>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</si>
  <si>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</si>
  <si>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</si>
  <si>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</si>
  <si>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</si>
  <si>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</si>
  <si>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</si>
  <si>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</si>
  <si>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</si>
  <si>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</si>
  <si>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</si>
  <si>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</si>
  <si>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</si>
  <si>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</si>
  <si>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</si>
  <si>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</si>
  <si>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</si>
  <si>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</si>
  <si>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</si>
  <si>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</si>
  <si>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</si>
  <si>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</si>
  <si>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</si>
  <si>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</si>
  <si>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</si>
  <si>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</si>
  <si>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</si>
  <si>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</si>
  <si>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</si>
  <si>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</si>
  <si>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</si>
  <si>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</si>
  <si>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</si>
  <si>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</si>
  <si>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</si>
  <si>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</si>
  <si>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</si>
  <si>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</si>
  <si>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</si>
  <si>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</si>
  <si>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</si>
  <si>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</si>
  <si>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</si>
  <si>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</si>
  <si>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</si>
  <si>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</si>
  <si>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</si>
  <si>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</si>
  <si>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</si>
  <si>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</si>
  <si>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</si>
  <si>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</si>
  <si>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</si>
  <si>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</si>
  <si>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</si>
  <si>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</si>
  <si>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</si>
  <si>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</si>
  <si>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</si>
  <si>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</si>
  <si>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</si>
  <si>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</si>
  <si>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</si>
  <si>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</si>
  <si>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</si>
  <si>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</si>
  <si>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</si>
  <si>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</si>
  <si>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</si>
  <si>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</si>
  <si>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</si>
  <si>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</si>
  <si>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</si>
  <si>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</si>
  <si>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</si>
  <si>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</si>
  <si>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</si>
  <si>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</si>
  <si>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</si>
  <si>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</si>
  <si>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</si>
  <si>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</si>
  <si>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</si>
  <si>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</si>
  <si>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</si>
  <si>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</si>
  <si>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</si>
  <si>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</si>
  <si>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</si>
  <si>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</si>
  <si>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</si>
  <si>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</si>
  <si>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</si>
  <si>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</si>
  <si>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</si>
  <si>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</si>
  <si>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</si>
  <si>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</si>
  <si>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</si>
  <si>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</si>
  <si>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</si>
  <si>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</si>
  <si>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</si>
  <si>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</si>
  <si>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</si>
  <si>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</si>
  <si>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</si>
  <si>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</si>
  <si>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</si>
  <si>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</si>
  <si>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</si>
  <si>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</si>
  <si>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</si>
  <si>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</si>
  <si>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</si>
  <si>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</si>
  <si>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</si>
  <si>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</si>
  <si>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</si>
  <si>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</si>
  <si>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</si>
  <si>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</si>
  <si>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</si>
  <si>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</si>
  <si>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</si>
  <si>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</si>
  <si>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</si>
  <si>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</si>
  <si>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</si>
  <si>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</si>
  <si>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</si>
  <si>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</si>
  <si>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</si>
  <si>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</si>
  <si>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</si>
  <si>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</si>
  <si>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</si>
  <si>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</si>
  <si>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</si>
  <si>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</si>
  <si>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</si>
  <si>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</si>
  <si>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</si>
  <si>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</si>
  <si>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</si>
  <si>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</si>
  <si>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</si>
  <si>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</si>
  <si>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</si>
  <si>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</si>
  <si>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</si>
  <si>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</si>
  <si>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</si>
  <si>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</si>
  <si>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</si>
  <si>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</si>
  <si>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</si>
  <si>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</si>
  <si>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</si>
  <si>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</si>
  <si>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</si>
  <si>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</si>
  <si>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</si>
  <si>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</si>
  <si>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</si>
  <si>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</si>
  <si>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</si>
  <si>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</si>
  <si>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</si>
  <si>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</si>
  <si>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</si>
  <si>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</si>
  <si>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</si>
  <si>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</si>
  <si>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</si>
  <si>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</si>
  <si>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</si>
  <si>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</si>
  <si>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</si>
  <si>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</si>
  <si>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</si>
  <si>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</si>
  <si>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</si>
  <si>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</si>
  <si>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</si>
  <si>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</si>
  <si>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</si>
  <si>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</si>
  <si>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</si>
  <si>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</si>
  <si>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</si>
  <si>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</si>
  <si>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</si>
  <si>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</si>
  <si>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</si>
  <si>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</si>
  <si>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</si>
  <si>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</si>
  <si>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</si>
  <si>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</si>
  <si>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</si>
  <si>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</si>
  <si>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</si>
  <si>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</si>
  <si>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</si>
  <si>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</si>
  <si>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</si>
  <si>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</si>
  <si>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</si>
  <si>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</si>
  <si>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</si>
  <si>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</si>
  <si>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</si>
  <si>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</si>
  <si>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</si>
  <si>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</si>
  <si>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</si>
  <si>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</si>
  <si>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</si>
  <si>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</si>
  <si>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</si>
  <si>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</si>
  <si>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</si>
  <si>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</si>
  <si>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</si>
  <si>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</si>
  <si>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</si>
  <si>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</si>
  <si>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</si>
  <si>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</si>
  <si>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</si>
  <si>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</si>
  <si>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</si>
  <si>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</si>
  <si>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</si>
  <si>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</si>
  <si>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</si>
  <si>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</si>
  <si>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</si>
  <si>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</si>
  <si>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</si>
  <si>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</si>
  <si>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</si>
  <si>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</si>
  <si>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</si>
  <si>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</si>
  <si>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</si>
  <si>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</si>
  <si>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</si>
  <si>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</si>
  <si>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</si>
  <si>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</si>
  <si>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</si>
  <si>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</si>
  <si>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</si>
  <si>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</si>
  <si>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</si>
  <si>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</si>
  <si>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</si>
  <si>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</si>
  <si>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</si>
  <si>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</si>
  <si>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</si>
  <si>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</si>
  <si>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</si>
  <si>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</si>
  <si>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</si>
  <si>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</si>
  <si>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</si>
  <si>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</si>
  <si>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</si>
  <si>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</si>
  <si>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</si>
  <si>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</si>
  <si>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</si>
  <si>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</si>
  <si>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</si>
  <si>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</si>
  <si>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</si>
  <si>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</si>
  <si>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</si>
  <si>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</si>
  <si>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</si>
  <si>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</si>
  <si>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</si>
  <si>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</si>
  <si>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</si>
  <si>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</si>
  <si>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</si>
  <si>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</si>
  <si>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</si>
  <si>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</si>
  <si>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</si>
  <si>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</si>
  <si>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</si>
  <si>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</si>
  <si>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</si>
  <si>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</si>
  <si>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</si>
  <si>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</si>
  <si>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</si>
  <si>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</si>
  <si>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</si>
  <si>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</si>
  <si>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</si>
  <si>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</si>
  <si>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</si>
  <si>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</si>
  <si>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</si>
  <si>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</si>
  <si>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</si>
  <si>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</si>
  <si>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</si>
  <si>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</si>
  <si>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</si>
  <si>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</si>
  <si>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</si>
  <si>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</si>
  <si>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</si>
  <si>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</si>
  <si>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</si>
  <si>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</si>
  <si>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</si>
  <si>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</si>
  <si>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</si>
  <si>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</si>
  <si>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</si>
  <si>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</si>
  <si>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</si>
  <si>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</si>
  <si>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</si>
  <si>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</si>
  <si>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</si>
  <si>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</si>
  <si>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</si>
  <si>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</si>
  <si>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</si>
  <si>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</si>
  <si>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</si>
  <si>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</si>
  <si>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</si>
  <si>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</si>
  <si>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</si>
  <si>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</si>
  <si>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</si>
  <si>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</si>
  <si>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</si>
  <si>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</si>
  <si>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</si>
  <si>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</si>
  <si>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</si>
  <si>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</si>
  <si>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</si>
  <si>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</si>
  <si>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</si>
  <si>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</si>
  <si>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</si>
  <si>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</si>
  <si>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</si>
  <si>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</si>
  <si>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</si>
  <si>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</si>
  <si>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</si>
  <si>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</si>
  <si>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</si>
  <si>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</si>
  <si>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</si>
  <si>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</si>
  <si>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</si>
  <si>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</si>
  <si>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</si>
  <si>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</si>
  <si>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</si>
  <si>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</si>
  <si>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</si>
  <si>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</si>
  <si>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</si>
  <si>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</si>
  <si>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</si>
  <si>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</si>
  <si>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</si>
  <si>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</si>
  <si>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</si>
  <si>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</si>
  <si>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</si>
  <si>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</si>
  <si>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</si>
  <si>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</si>
  <si>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</si>
  <si>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</si>
  <si>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</si>
  <si>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</si>
  <si>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</si>
  <si>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</si>
  <si>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</si>
  <si>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</si>
  <si>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</si>
  <si>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</si>
  <si>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</si>
  <si>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</si>
  <si>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</si>
  <si>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</si>
  <si>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</si>
  <si>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</si>
  <si>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</si>
  <si>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</si>
  <si>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</si>
  <si>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</si>
  <si>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</si>
  <si>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</si>
  <si>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</si>
  <si>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</si>
  <si>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</si>
  <si>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</si>
  <si>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</si>
  <si>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</si>
  <si>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</si>
  <si>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</si>
  <si>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</si>
  <si>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</si>
  <si>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</si>
  <si>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</si>
  <si>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</si>
  <si>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</si>
  <si>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</si>
  <si>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</si>
  <si>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</si>
  <si>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</si>
  <si>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</si>
  <si>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</si>
  <si>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</si>
  <si>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</si>
  <si>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</si>
  <si>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</si>
  <si>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</si>
  <si>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</si>
  <si>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</si>
  <si>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</si>
  <si>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</si>
  <si>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</si>
  <si>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</si>
  <si>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</si>
  <si>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</si>
  <si>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</si>
  <si>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</si>
  <si>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</si>
  <si>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</si>
  <si>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</si>
  <si>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</si>
  <si>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</si>
  <si>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</si>
  <si>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</si>
  <si>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</si>
  <si>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</si>
  <si>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</si>
  <si>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</si>
  <si>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</si>
  <si>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</si>
  <si>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</si>
  <si>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</si>
  <si>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</si>
  <si>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</si>
  <si>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</si>
  <si>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</si>
  <si>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</si>
  <si>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</si>
  <si>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</si>
  <si>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</si>
  <si>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</si>
  <si>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</si>
  <si>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</si>
  <si>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</si>
  <si>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</si>
  <si>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</si>
  <si>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</si>
  <si>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</si>
  <si>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</si>
  <si>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</si>
  <si>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</si>
  <si>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</si>
  <si>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</si>
  <si>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</si>
  <si>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</si>
  <si>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</si>
  <si>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</si>
  <si>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</si>
  <si>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</si>
  <si>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</si>
  <si>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</si>
  <si>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</si>
  <si>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</si>
  <si>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</si>
  <si>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</si>
  <si>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</si>
  <si>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</si>
  <si>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</si>
  <si>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</si>
  <si>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</si>
  <si>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</si>
  <si>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</si>
  <si>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</si>
  <si>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</si>
  <si>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</si>
  <si>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</si>
  <si>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</si>
  <si>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</si>
  <si>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</si>
  <si>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</si>
  <si>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</si>
  <si>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</si>
  <si>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</si>
  <si>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</si>
  <si>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</si>
  <si>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</si>
  <si>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</si>
  <si>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</si>
  <si>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</si>
  <si>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</si>
  <si>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</si>
  <si>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</si>
  <si>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</si>
  <si>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</si>
  <si>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</si>
  <si>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</si>
  <si>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</si>
  <si>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</si>
  <si>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</si>
  <si>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</si>
  <si>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</si>
  <si>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</si>
  <si>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</si>
  <si>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</si>
  <si>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</si>
  <si>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</si>
  <si>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</si>
  <si>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</si>
  <si>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</si>
  <si>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</si>
  <si>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</si>
  <si>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</si>
  <si>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</si>
  <si>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</si>
  <si>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</si>
  <si>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</si>
  <si>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</si>
  <si>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</si>
  <si>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</si>
  <si>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</si>
  <si>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</si>
  <si>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</si>
  <si>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</si>
  <si>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</si>
  <si>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</si>
  <si>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</si>
  <si>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</si>
  <si>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</si>
  <si>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</si>
  <si>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</si>
  <si>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</si>
  <si>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</si>
  <si>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</si>
  <si>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</si>
  <si>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</si>
  <si>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</si>
  <si>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</si>
  <si>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</si>
  <si>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</si>
  <si>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</si>
  <si>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</si>
  <si>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</si>
  <si>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</si>
  <si>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</si>
  <si>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</si>
  <si>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</si>
  <si>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</si>
  <si>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</si>
  <si>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</si>
  <si>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</si>
  <si>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</si>
  <si>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</si>
  <si>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</si>
  <si>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</si>
  <si>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</si>
  <si>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</si>
  <si>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</si>
  <si>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</si>
  <si>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</si>
  <si>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</si>
  <si>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</si>
  <si>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</si>
  <si>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</si>
  <si>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</si>
  <si>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</si>
  <si>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</si>
  <si>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</si>
  <si>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</si>
  <si>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</si>
  <si>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</si>
  <si>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</si>
  <si>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</si>
  <si>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</si>
  <si>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</si>
  <si>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</si>
  <si>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</si>
  <si>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</si>
  <si>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</si>
  <si>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</si>
  <si>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</si>
  <si>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</si>
  <si>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</si>
  <si>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</si>
  <si>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</si>
  <si>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</si>
  <si>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</si>
  <si>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</si>
  <si>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</si>
  <si>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</si>
  <si>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</si>
  <si>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</si>
  <si>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</si>
  <si>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</si>
  <si>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</si>
  <si>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</si>
  <si>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</si>
  <si>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</si>
  <si>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</si>
  <si>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</si>
  <si>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</si>
  <si>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</si>
  <si>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</si>
  <si>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</si>
  <si>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</si>
  <si>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</si>
  <si>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</si>
  <si>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</si>
  <si>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</si>
  <si>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</si>
  <si>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</si>
  <si>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</si>
  <si>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</si>
  <si>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</si>
  <si>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</si>
  <si>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</si>
  <si>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</si>
  <si>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</si>
  <si>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</si>
  <si>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</si>
  <si>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</si>
  <si>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</si>
  <si>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</si>
  <si>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</si>
  <si>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</si>
  <si>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</si>
  <si>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</si>
  <si>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</si>
  <si>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</si>
  <si>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</si>
  <si>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</si>
  <si>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</si>
  <si>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</si>
  <si>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</si>
  <si>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</si>
  <si>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</si>
  <si>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</si>
  <si>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</si>
  <si>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</si>
  <si>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</si>
  <si>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</si>
  <si>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</si>
  <si>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</si>
  <si>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</si>
  <si>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</si>
  <si>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</si>
  <si>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</si>
  <si>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</si>
  <si>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</si>
  <si>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</si>
  <si>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</si>
  <si>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</si>
  <si>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</si>
  <si>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</si>
  <si>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</si>
  <si>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</si>
  <si>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</si>
  <si>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</si>
  <si>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</si>
  <si>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</si>
  <si>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</si>
  <si>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</si>
  <si>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</si>
  <si>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</si>
  <si>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</si>
  <si>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</si>
  <si>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</si>
  <si>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</si>
  <si>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</si>
  <si>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</si>
  <si>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</si>
  <si>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</si>
  <si>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</si>
  <si>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</si>
  <si>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</si>
  <si>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</si>
  <si>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</si>
  <si>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</si>
  <si>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</si>
  <si>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</si>
  <si>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</si>
  <si>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</si>
  <si>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</si>
  <si>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</si>
  <si>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</si>
  <si>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</si>
  <si>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</si>
  <si>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</si>
  <si>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</si>
  <si>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</si>
  <si>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</si>
  <si>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</si>
  <si>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</si>
  <si>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</si>
  <si>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</si>
  <si>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</si>
  <si>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</si>
  <si>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</si>
  <si>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</si>
  <si>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</si>
  <si>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</si>
  <si>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</si>
  <si>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</si>
  <si>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</si>
  <si>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</si>
  <si>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</si>
  <si>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</si>
  <si>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</si>
  <si>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</si>
  <si>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</si>
  <si>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</si>
  <si>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</si>
  <si>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</si>
  <si>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</si>
  <si>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</si>
  <si>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</si>
  <si>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</si>
  <si>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</si>
  <si>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</si>
  <si>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</si>
  <si>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</si>
  <si>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</si>
  <si>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</si>
  <si>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</si>
  <si>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</si>
  <si>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</si>
  <si>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</si>
  <si>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</si>
  <si>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</si>
  <si>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</si>
  <si>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</si>
  <si>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</si>
  <si>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</si>
  <si>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</si>
  <si>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</si>
  <si>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</si>
  <si>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</si>
  <si>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</si>
  <si>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</si>
  <si>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</si>
  <si>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</si>
  <si>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</si>
  <si>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</si>
  <si>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</si>
  <si>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</si>
  <si>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</si>
  <si>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</si>
  <si>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</si>
  <si>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</si>
  <si>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</si>
  <si>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</si>
  <si>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</si>
  <si>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</si>
  <si>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</si>
  <si>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</si>
  <si>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</si>
  <si>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</si>
  <si>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</si>
  <si>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</si>
  <si>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</si>
  <si>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</si>
  <si>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</si>
  <si>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</si>
  <si>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</si>
  <si>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</si>
  <si>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</si>
  <si>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</si>
  <si>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</si>
  <si>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</si>
  <si>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</si>
  <si>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</si>
  <si>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</si>
  <si>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</si>
  <si>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</si>
  <si>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</si>
  <si>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</si>
  <si>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</si>
  <si>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</si>
  <si>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</si>
  <si>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</si>
  <si>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</si>
  <si>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</si>
  <si>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</si>
  <si>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</si>
  <si>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</si>
  <si>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</si>
  <si>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</si>
  <si>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</si>
  <si>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</si>
  <si>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</si>
  <si>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</si>
  <si>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</si>
  <si>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</si>
  <si>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</si>
  <si>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</si>
  <si>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</si>
  <si>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</si>
  <si>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</si>
  <si>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</si>
  <si>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11025</t>
  </si>
  <si>
    <t>LINT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</si>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</sst>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69907.440775090552</c:v>
                </c:pt>
                <c:pt idx="1">
                  <c:v>21135.194256260267</c:v>
                </c:pt>
                <c:pt idx="2">
                  <c:v>438.56599999999997</c:v>
                </c:pt>
                <c:pt idx="3">
                  <c:v>565.6078344553423</c:v>
                </c:pt>
                <c:pt idx="4">
                  <c:v>2800.7378811777262</c:v>
                </c:pt>
                <c:pt idx="5">
                  <c:v>6995.0881155941734</c:v>
                </c:pt>
                <c:pt idx="6">
                  <c:v>503.57945340496036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69907.440775090552</c:v>
                </c:pt>
                <c:pt idx="1">
                  <c:v>21135.194256260267</c:v>
                </c:pt>
                <c:pt idx="2">
                  <c:v>438.56599999999997</c:v>
                </c:pt>
                <c:pt idx="3">
                  <c:v>565.6078344553423</c:v>
                </c:pt>
                <c:pt idx="4">
                  <c:v>2800.7378811777262</c:v>
                </c:pt>
                <c:pt idx="5">
                  <c:v>6995.0881155941734</c:v>
                </c:pt>
                <c:pt idx="6">
                  <c:v>503.57945340496036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13718.375356637755</c:v>
                </c:pt>
                <c:pt idx="1">
                  <c:v>4229.8635275713004</c:v>
                </c:pt>
                <c:pt idx="2">
                  <c:v>87.571573411284831</c:v>
                </c:pt>
                <c:pt idx="3">
                  <c:v>128.43924237951731</c:v>
                </c:pt>
                <c:pt idx="4">
                  <c:v>580.38180027339729</c:v>
                </c:pt>
                <c:pt idx="5">
                  <c:v>1737.7425985721231</c:v>
                </c:pt>
                <c:pt idx="6">
                  <c:v>126.91329053863015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13718.375356637755</c:v>
                </c:pt>
                <c:pt idx="1">
                  <c:v>4229.8635275713004</c:v>
                </c:pt>
                <c:pt idx="2">
                  <c:v>87.571573411284831</c:v>
                </c:pt>
                <c:pt idx="3">
                  <c:v>128.43924237951731</c:v>
                </c:pt>
                <c:pt idx="4">
                  <c:v>580.38180027339729</c:v>
                </c:pt>
                <c:pt idx="5">
                  <c:v>1737.7425985721231</c:v>
                </c:pt>
                <c:pt idx="6">
                  <c:v>126.91329053863015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11025</v>
      </c>
      <c r="B6" s="386"/>
      <c r="C6" s="387"/>
    </row>
    <row r="7" spans="1:7" s="384" customFormat="1" ht="15.75" customHeight="1">
      <c r="A7" s="388" t="str">
        <f>txtMunicipality</f>
        <v>LINT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7078.8658690000002</v>
      </c>
      <c r="D10" s="681">
        <f ca="1">tertiair!C16</f>
        <v>0</v>
      </c>
      <c r="E10" s="681">
        <f ca="1">tertiair!D16</f>
        <v>13282.895547658001</v>
      </c>
      <c r="F10" s="681">
        <f>tertiair!E16</f>
        <v>93.622268957227931</v>
      </c>
      <c r="G10" s="681">
        <f ca="1">tertiair!F16</f>
        <v>747.37048541226682</v>
      </c>
      <c r="H10" s="681">
        <f>tertiair!G16</f>
        <v>0</v>
      </c>
      <c r="I10" s="681">
        <f>tertiair!H16</f>
        <v>0</v>
      </c>
      <c r="J10" s="681">
        <f>tertiair!I16</f>
        <v>0</v>
      </c>
      <c r="K10" s="681">
        <f>tertiair!J16</f>
        <v>8.0159435847850461E-3</v>
      </c>
      <c r="L10" s="681">
        <f>tertiair!K16</f>
        <v>0</v>
      </c>
      <c r="M10" s="681">
        <f ca="1">tertiair!L16</f>
        <v>0</v>
      </c>
      <c r="N10" s="681">
        <f>tertiair!M16</f>
        <v>0</v>
      </c>
      <c r="O10" s="681">
        <f ca="1">tertiair!N16</f>
        <v>318.45893098268664</v>
      </c>
      <c r="P10" s="681">
        <f>tertiair!O16</f>
        <v>0</v>
      </c>
      <c r="Q10" s="682">
        <f>tertiair!P16</f>
        <v>52.539138306495019</v>
      </c>
      <c r="R10" s="684">
        <f ca="1">SUM(C10:Q10)</f>
        <v>21573.760256260266</v>
      </c>
      <c r="S10" s="67"/>
    </row>
    <row r="11" spans="1:19" s="444" customFormat="1">
      <c r="A11" s="802" t="s">
        <v>219</v>
      </c>
      <c r="B11" s="807"/>
      <c r="C11" s="681">
        <f>huishoudens!B8</f>
        <v>14355.70387609068</v>
      </c>
      <c r="D11" s="681">
        <f>huishoudens!C8</f>
        <v>0</v>
      </c>
      <c r="E11" s="681">
        <f>huishoudens!D8</f>
        <v>41015.609656120003</v>
      </c>
      <c r="F11" s="681">
        <f>huishoudens!E8</f>
        <v>563.59409319609392</v>
      </c>
      <c r="G11" s="681">
        <f>huishoudens!F8</f>
        <v>9085.8879440986475</v>
      </c>
      <c r="H11" s="681">
        <f>huishoudens!G8</f>
        <v>0</v>
      </c>
      <c r="I11" s="681">
        <f>huishoudens!H8</f>
        <v>0</v>
      </c>
      <c r="J11" s="681">
        <f>huishoudens!I8</f>
        <v>0</v>
      </c>
      <c r="K11" s="681">
        <f>huishoudens!J8</f>
        <v>36.297721756619225</v>
      </c>
      <c r="L11" s="681">
        <f>huishoudens!K8</f>
        <v>0</v>
      </c>
      <c r="M11" s="681">
        <f>huishoudens!L8</f>
        <v>0</v>
      </c>
      <c r="N11" s="681">
        <f>huishoudens!M8</f>
        <v>0</v>
      </c>
      <c r="O11" s="681">
        <f>huishoudens!N8</f>
        <v>4407.8280931808004</v>
      </c>
      <c r="P11" s="681">
        <f>huishoudens!O8</f>
        <v>168.63644864789771</v>
      </c>
      <c r="Q11" s="682">
        <f>huishoudens!P8</f>
        <v>273.88294199981061</v>
      </c>
      <c r="R11" s="684">
        <f>SUM(C11:Q11)</f>
        <v>69907.440775090552</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1088.5990430000002</v>
      </c>
      <c r="D13" s="681">
        <f>industrie!C18</f>
        <v>0</v>
      </c>
      <c r="E13" s="681">
        <f>industrie!D18</f>
        <v>1158.3845323159999</v>
      </c>
      <c r="F13" s="681">
        <f>industrie!E18</f>
        <v>115.86495468048795</v>
      </c>
      <c r="G13" s="681">
        <f>industrie!F18</f>
        <v>378.48344383217909</v>
      </c>
      <c r="H13" s="681">
        <f>industrie!G18</f>
        <v>0</v>
      </c>
      <c r="I13" s="681">
        <f>industrie!H18</f>
        <v>0</v>
      </c>
      <c r="J13" s="681">
        <f>industrie!I18</f>
        <v>0</v>
      </c>
      <c r="K13" s="681">
        <f>industrie!J18</f>
        <v>4.6989671929785075</v>
      </c>
      <c r="L13" s="681">
        <f>industrie!K18</f>
        <v>0</v>
      </c>
      <c r="M13" s="681">
        <f>industrie!L18</f>
        <v>0</v>
      </c>
      <c r="N13" s="681">
        <f>industrie!M18</f>
        <v>0</v>
      </c>
      <c r="O13" s="681">
        <f>industrie!N18</f>
        <v>54.706940156080421</v>
      </c>
      <c r="P13" s="681">
        <f>industrie!O18</f>
        <v>0</v>
      </c>
      <c r="Q13" s="682">
        <f>industrie!P18</f>
        <v>0</v>
      </c>
      <c r="R13" s="684">
        <f>SUM(C13:Q13)</f>
        <v>2800.7378811777262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22523.168788090683</v>
      </c>
      <c r="D16" s="717">
        <f t="shared" ref="D16:R16" ca="1" si="0">SUM(D9:D15)</f>
        <v>0</v>
      </c>
      <c r="E16" s="717">
        <f t="shared" ca="1" si="0"/>
        <v>55456.889736094003</v>
      </c>
      <c r="F16" s="717">
        <f t="shared" si="0"/>
        <v>773.08131683380975</v>
      </c>
      <c r="G16" s="717">
        <f t="shared" ca="1" si="0"/>
        <v>10211.741873343093</v>
      </c>
      <c r="H16" s="717">
        <f t="shared" si="0"/>
        <v>0</v>
      </c>
      <c r="I16" s="717">
        <f t="shared" si="0"/>
        <v>0</v>
      </c>
      <c r="J16" s="717">
        <f t="shared" si="0"/>
        <v>0</v>
      </c>
      <c r="K16" s="717">
        <f t="shared" si="0"/>
        <v>41.00470489318252</v>
      </c>
      <c r="L16" s="717">
        <f t="shared" si="0"/>
        <v>0</v>
      </c>
      <c r="M16" s="717">
        <f t="shared" ca="1" si="0"/>
        <v>0</v>
      </c>
      <c r="N16" s="717">
        <f t="shared" si="0"/>
        <v>0</v>
      </c>
      <c r="O16" s="717">
        <f t="shared" ca="1" si="0"/>
        <v>4780.9939643195676</v>
      </c>
      <c r="P16" s="717">
        <f t="shared" si="0"/>
        <v>168.63644864789771</v>
      </c>
      <c r="Q16" s="717">
        <f t="shared" si="0"/>
        <v>326.42208030630565</v>
      </c>
      <c r="R16" s="717">
        <f t="shared" ca="1" si="0"/>
        <v>94281.938912528552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6.4936452191608067</v>
      </c>
      <c r="D19" s="681">
        <f>transport!C54</f>
        <v>0</v>
      </c>
      <c r="E19" s="681">
        <f>transport!D54</f>
        <v>0</v>
      </c>
      <c r="F19" s="681">
        <f>transport!E54</f>
        <v>0</v>
      </c>
      <c r="G19" s="681">
        <f>transport!F54</f>
        <v>0</v>
      </c>
      <c r="H19" s="681">
        <f>transport!G54</f>
        <v>470.474376384317</v>
      </c>
      <c r="I19" s="681">
        <f>transport!H54</f>
        <v>0</v>
      </c>
      <c r="J19" s="681">
        <f>transport!I54</f>
        <v>0</v>
      </c>
      <c r="K19" s="681">
        <f>transport!J54</f>
        <v>0</v>
      </c>
      <c r="L19" s="681">
        <f>transport!K54</f>
        <v>0</v>
      </c>
      <c r="M19" s="681">
        <f>transport!L54</f>
        <v>0</v>
      </c>
      <c r="N19" s="681">
        <f>transport!M54</f>
        <v>26.611431801482567</v>
      </c>
      <c r="O19" s="681">
        <f>transport!N54</f>
        <v>0</v>
      </c>
      <c r="P19" s="681">
        <f>transport!O54</f>
        <v>0</v>
      </c>
      <c r="Q19" s="682">
        <f>transport!P54</f>
        <v>0</v>
      </c>
      <c r="R19" s="684">
        <f>SUM(C19:Q19)</f>
        <v>503.57945340496036</v>
      </c>
      <c r="S19" s="67"/>
    </row>
    <row r="20" spans="1:19" s="444" customFormat="1">
      <c r="A20" s="802" t="s">
        <v>301</v>
      </c>
      <c r="B20" s="807"/>
      <c r="C20" s="681">
        <f>transport!B14</f>
        <v>8.630356801623881</v>
      </c>
      <c r="D20" s="681">
        <f>transport!C14</f>
        <v>0</v>
      </c>
      <c r="E20" s="681">
        <f>transport!D14</f>
        <v>14.823398279758063</v>
      </c>
      <c r="F20" s="681">
        <f>transport!E14</f>
        <v>12.936780423863931</v>
      </c>
      <c r="G20" s="681">
        <f>transport!F14</f>
        <v>0</v>
      </c>
      <c r="H20" s="681">
        <f>transport!G14</f>
        <v>5248.3257398403921</v>
      </c>
      <c r="I20" s="681">
        <f>transport!H14</f>
        <v>1320.4231569319797</v>
      </c>
      <c r="J20" s="681">
        <f>transport!I14</f>
        <v>0</v>
      </c>
      <c r="K20" s="681">
        <f>transport!J14</f>
        <v>0</v>
      </c>
      <c r="L20" s="681">
        <f>transport!K14</f>
        <v>0</v>
      </c>
      <c r="M20" s="681">
        <f>transport!L14</f>
        <v>0</v>
      </c>
      <c r="N20" s="681">
        <f>transport!M14</f>
        <v>389.94868331655573</v>
      </c>
      <c r="O20" s="681">
        <f>transport!N14</f>
        <v>0</v>
      </c>
      <c r="P20" s="681">
        <f>transport!O14</f>
        <v>0</v>
      </c>
      <c r="Q20" s="682">
        <f>transport!P14</f>
        <v>0</v>
      </c>
      <c r="R20" s="684">
        <f>SUM(C20:Q20)</f>
        <v>6995.0881155941734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15.124002020784687</v>
      </c>
      <c r="D22" s="805">
        <f t="shared" ref="D22:R22" si="1">SUM(D18:D21)</f>
        <v>0</v>
      </c>
      <c r="E22" s="805">
        <f t="shared" si="1"/>
        <v>14.823398279758063</v>
      </c>
      <c r="F22" s="805">
        <f t="shared" si="1"/>
        <v>12.936780423863931</v>
      </c>
      <c r="G22" s="805">
        <f t="shared" si="1"/>
        <v>0</v>
      </c>
      <c r="H22" s="805">
        <f t="shared" si="1"/>
        <v>5718.8001162247092</v>
      </c>
      <c r="I22" s="805">
        <f t="shared" si="1"/>
        <v>1320.4231569319797</v>
      </c>
      <c r="J22" s="805">
        <f t="shared" si="1"/>
        <v>0</v>
      </c>
      <c r="K22" s="805">
        <f t="shared" si="1"/>
        <v>0</v>
      </c>
      <c r="L22" s="805">
        <f t="shared" si="1"/>
        <v>0</v>
      </c>
      <c r="M22" s="805">
        <f t="shared" si="1"/>
        <v>0</v>
      </c>
      <c r="N22" s="805">
        <f t="shared" si="1"/>
        <v>416.56011511803831</v>
      </c>
      <c r="O22" s="805">
        <f t="shared" si="1"/>
        <v>0</v>
      </c>
      <c r="P22" s="805">
        <f t="shared" si="1"/>
        <v>0</v>
      </c>
      <c r="Q22" s="805">
        <f t="shared" si="1"/>
        <v>0</v>
      </c>
      <c r="R22" s="805">
        <f t="shared" si="1"/>
        <v>7498.6675689991334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52.532411000000003</v>
      </c>
      <c r="D24" s="681">
        <f>+landbouw!C8</f>
        <v>0</v>
      </c>
      <c r="E24" s="681">
        <f>+landbouw!D8</f>
        <v>311.307500834</v>
      </c>
      <c r="F24" s="681">
        <f>+landbouw!E8</f>
        <v>1.6395192242579604</v>
      </c>
      <c r="G24" s="681">
        <f>+landbouw!F8</f>
        <v>185.65535985750688</v>
      </c>
      <c r="H24" s="681">
        <f>+landbouw!G8</f>
        <v>0</v>
      </c>
      <c r="I24" s="681">
        <f>+landbouw!H8</f>
        <v>0</v>
      </c>
      <c r="J24" s="681">
        <f>+landbouw!I8</f>
        <v>0</v>
      </c>
      <c r="K24" s="681">
        <f>+landbouw!J8</f>
        <v>14.473043539577501</v>
      </c>
      <c r="L24" s="681">
        <f>+landbouw!K8</f>
        <v>0</v>
      </c>
      <c r="M24" s="681">
        <f>+landbouw!L8</f>
        <v>0</v>
      </c>
      <c r="N24" s="681">
        <f>+landbouw!M8</f>
        <v>0</v>
      </c>
      <c r="O24" s="681">
        <f>+landbouw!N8</f>
        <v>0</v>
      </c>
      <c r="P24" s="681">
        <f>+landbouw!O8</f>
        <v>0</v>
      </c>
      <c r="Q24" s="682">
        <f>+landbouw!P8</f>
        <v>0</v>
      </c>
      <c r="R24" s="684">
        <f>SUM(C24:Q24)</f>
        <v>565.6078344553423</v>
      </c>
      <c r="S24" s="67"/>
    </row>
    <row r="25" spans="1:19" s="444" customFormat="1" ht="15" thickBot="1">
      <c r="A25" s="824" t="s">
        <v>714</v>
      </c>
      <c r="B25" s="943"/>
      <c r="C25" s="944">
        <f>IF(Onbekend_ele_kWh="---",0,Onbekend_ele_kWh)/1000+IF(REST_rest_ele_kWh="---",0,REST_rest_ele_kWh)/1000</f>
        <v>280.306264</v>
      </c>
      <c r="D25" s="944"/>
      <c r="E25" s="944">
        <f>IF(onbekend_gas_kWh="---",0,onbekend_gas_kWh)/1000+IF(REST_rest_gas_kWh="---",0,REST_rest_gas_kWh)/1000</f>
        <v>902.31271600000002</v>
      </c>
      <c r="F25" s="944"/>
      <c r="G25" s="944"/>
      <c r="H25" s="944"/>
      <c r="I25" s="944"/>
      <c r="J25" s="944"/>
      <c r="K25" s="944"/>
      <c r="L25" s="944"/>
      <c r="M25" s="944"/>
      <c r="N25" s="944"/>
      <c r="O25" s="944"/>
      <c r="P25" s="944"/>
      <c r="Q25" s="945"/>
      <c r="R25" s="684">
        <f>SUM(C25:Q25)</f>
        <v>1182.61898</v>
      </c>
      <c r="S25" s="67"/>
    </row>
    <row r="26" spans="1:19" s="444" customFormat="1" ht="15.75" thickBot="1">
      <c r="A26" s="689" t="s">
        <v>715</v>
      </c>
      <c r="B26" s="810"/>
      <c r="C26" s="805">
        <f>SUM(C24:C25)</f>
        <v>332.83867500000002</v>
      </c>
      <c r="D26" s="805">
        <f t="shared" ref="D26:R26" si="2">SUM(D24:D25)</f>
        <v>0</v>
      </c>
      <c r="E26" s="805">
        <f t="shared" si="2"/>
        <v>1213.6202168340001</v>
      </c>
      <c r="F26" s="805">
        <f t="shared" si="2"/>
        <v>1.6395192242579604</v>
      </c>
      <c r="G26" s="805">
        <f t="shared" si="2"/>
        <v>185.65535985750688</v>
      </c>
      <c r="H26" s="805">
        <f t="shared" si="2"/>
        <v>0</v>
      </c>
      <c r="I26" s="805">
        <f t="shared" si="2"/>
        <v>0</v>
      </c>
      <c r="J26" s="805">
        <f t="shared" si="2"/>
        <v>0</v>
      </c>
      <c r="K26" s="805">
        <f t="shared" si="2"/>
        <v>14.473043539577501</v>
      </c>
      <c r="L26" s="805">
        <f t="shared" si="2"/>
        <v>0</v>
      </c>
      <c r="M26" s="805">
        <f t="shared" si="2"/>
        <v>0</v>
      </c>
      <c r="N26" s="805">
        <f t="shared" si="2"/>
        <v>0</v>
      </c>
      <c r="O26" s="805">
        <f t="shared" si="2"/>
        <v>0</v>
      </c>
      <c r="P26" s="805">
        <f t="shared" si="2"/>
        <v>0</v>
      </c>
      <c r="Q26" s="805">
        <f t="shared" si="2"/>
        <v>0</v>
      </c>
      <c r="R26" s="805">
        <f t="shared" si="2"/>
        <v>1748.2268144553423</v>
      </c>
      <c r="S26" s="67"/>
    </row>
    <row r="27" spans="1:19" s="444" customFormat="1" ht="17.25" thickTop="1" thickBot="1">
      <c r="A27" s="690" t="s">
        <v>115</v>
      </c>
      <c r="B27" s="797"/>
      <c r="C27" s="691">
        <f ca="1">C22+C16+C26</f>
        <v>22871.131465111466</v>
      </c>
      <c r="D27" s="691">
        <f t="shared" ref="D27:R27" ca="1" si="3">D22+D16+D26</f>
        <v>0</v>
      </c>
      <c r="E27" s="691">
        <f t="shared" ca="1" si="3"/>
        <v>56685.333351207766</v>
      </c>
      <c r="F27" s="691">
        <f t="shared" si="3"/>
        <v>787.65761648193165</v>
      </c>
      <c r="G27" s="691">
        <f t="shared" ca="1" si="3"/>
        <v>10397.3972332006</v>
      </c>
      <c r="H27" s="691">
        <f t="shared" si="3"/>
        <v>5718.8001162247092</v>
      </c>
      <c r="I27" s="691">
        <f t="shared" si="3"/>
        <v>1320.4231569319797</v>
      </c>
      <c r="J27" s="691">
        <f t="shared" si="3"/>
        <v>0</v>
      </c>
      <c r="K27" s="691">
        <f t="shared" si="3"/>
        <v>55.477748432760023</v>
      </c>
      <c r="L27" s="691">
        <f t="shared" si="3"/>
        <v>0</v>
      </c>
      <c r="M27" s="691">
        <f t="shared" ca="1" si="3"/>
        <v>0</v>
      </c>
      <c r="N27" s="691">
        <f t="shared" si="3"/>
        <v>416.56011511803831</v>
      </c>
      <c r="O27" s="691">
        <f t="shared" ca="1" si="3"/>
        <v>4780.9939643195676</v>
      </c>
      <c r="P27" s="691">
        <f t="shared" si="3"/>
        <v>168.63644864789771</v>
      </c>
      <c r="Q27" s="691">
        <f t="shared" si="3"/>
        <v>326.42208030630565</v>
      </c>
      <c r="R27" s="691">
        <f t="shared" ca="1" si="3"/>
        <v>103528.83329598303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1413.4871880532739</v>
      </c>
      <c r="D40" s="681">
        <f ca="1">tertiair!C20</f>
        <v>0</v>
      </c>
      <c r="E40" s="681">
        <f ca="1">tertiair!D20</f>
        <v>2683.1449006269163</v>
      </c>
      <c r="F40" s="681">
        <f>tertiair!E20</f>
        <v>21.252255053290742</v>
      </c>
      <c r="G40" s="681">
        <f ca="1">tertiair!F20</f>
        <v>199.54791960507526</v>
      </c>
      <c r="H40" s="681">
        <f>tertiair!G20</f>
        <v>0</v>
      </c>
      <c r="I40" s="681">
        <f>tertiair!H20</f>
        <v>0</v>
      </c>
      <c r="J40" s="681">
        <f>tertiair!I20</f>
        <v>0</v>
      </c>
      <c r="K40" s="681">
        <f>tertiair!J20</f>
        <v>2.8376440290139061E-3</v>
      </c>
      <c r="L40" s="681">
        <f>tertiair!K20</f>
        <v>0</v>
      </c>
      <c r="M40" s="681">
        <f ca="1">tertiair!L20</f>
        <v>0</v>
      </c>
      <c r="N40" s="681">
        <f>tertiair!M20</f>
        <v>0</v>
      </c>
      <c r="O40" s="681">
        <f ca="1">tertiair!N20</f>
        <v>0</v>
      </c>
      <c r="P40" s="681">
        <f>tertiair!O20</f>
        <v>0</v>
      </c>
      <c r="Q40" s="764">
        <f>tertiair!P20</f>
        <v>0</v>
      </c>
      <c r="R40" s="843">
        <f t="shared" ca="1" si="4"/>
        <v>4317.435100982585</v>
      </c>
    </row>
    <row r="41" spans="1:18">
      <c r="A41" s="815" t="s">
        <v>219</v>
      </c>
      <c r="B41" s="822"/>
      <c r="C41" s="681">
        <f ca="1">huishoudens!B12</f>
        <v>2866.5048723698169</v>
      </c>
      <c r="D41" s="681">
        <f ca="1">huishoudens!C12</f>
        <v>0</v>
      </c>
      <c r="E41" s="681">
        <f>huishoudens!D12</f>
        <v>8285.1531505362418</v>
      </c>
      <c r="F41" s="681">
        <f>huishoudens!E12</f>
        <v>127.93585915551333</v>
      </c>
      <c r="G41" s="681">
        <f>huishoudens!F12</f>
        <v>2425.9320810743388</v>
      </c>
      <c r="H41" s="681">
        <f>huishoudens!G12</f>
        <v>0</v>
      </c>
      <c r="I41" s="681">
        <f>huishoudens!H12</f>
        <v>0</v>
      </c>
      <c r="J41" s="681">
        <f>huishoudens!I12</f>
        <v>0</v>
      </c>
      <c r="K41" s="681">
        <f>huishoudens!J12</f>
        <v>12.849393501843204</v>
      </c>
      <c r="L41" s="681">
        <f>huishoudens!K12</f>
        <v>0</v>
      </c>
      <c r="M41" s="681">
        <f>huishoudens!L12</f>
        <v>0</v>
      </c>
      <c r="N41" s="681">
        <f>huishoudens!M12</f>
        <v>0</v>
      </c>
      <c r="O41" s="681">
        <f>huishoudens!N12</f>
        <v>0</v>
      </c>
      <c r="P41" s="681">
        <f>huishoudens!O12</f>
        <v>0</v>
      </c>
      <c r="Q41" s="764">
        <f>huishoudens!P12</f>
        <v>0</v>
      </c>
      <c r="R41" s="843">
        <f t="shared" ca="1" si="4"/>
        <v>13718.375356637755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217.36826614358827</v>
      </c>
      <c r="D43" s="681">
        <f ca="1">industrie!C22</f>
        <v>0</v>
      </c>
      <c r="E43" s="681">
        <f>industrie!D22</f>
        <v>233.99367552783198</v>
      </c>
      <c r="F43" s="681">
        <f>industrie!E22</f>
        <v>26.301344712470765</v>
      </c>
      <c r="G43" s="681">
        <f>industrie!F22</f>
        <v>101.05507950319182</v>
      </c>
      <c r="H43" s="681">
        <f>industrie!G22</f>
        <v>0</v>
      </c>
      <c r="I43" s="681">
        <f>industrie!H22</f>
        <v>0</v>
      </c>
      <c r="J43" s="681">
        <f>industrie!I22</f>
        <v>0</v>
      </c>
      <c r="K43" s="681">
        <f>industrie!J22</f>
        <v>1.6634343863143917</v>
      </c>
      <c r="L43" s="681">
        <f>industrie!K22</f>
        <v>0</v>
      </c>
      <c r="M43" s="681">
        <f>industrie!L22</f>
        <v>0</v>
      </c>
      <c r="N43" s="681">
        <f>industrie!M22</f>
        <v>0</v>
      </c>
      <c r="O43" s="681">
        <f>industrie!N22</f>
        <v>0</v>
      </c>
      <c r="P43" s="681">
        <f>industrie!O22</f>
        <v>0</v>
      </c>
      <c r="Q43" s="764">
        <f>industrie!P22</f>
        <v>0</v>
      </c>
      <c r="R43" s="842">
        <f t="shared" ca="1" si="4"/>
        <v>580.38180027339729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4497.3603265666798</v>
      </c>
      <c r="D46" s="717">
        <f t="shared" ref="D46:Q46" ca="1" si="5">SUM(D39:D45)</f>
        <v>0</v>
      </c>
      <c r="E46" s="717">
        <f t="shared" ca="1" si="5"/>
        <v>11202.29172669099</v>
      </c>
      <c r="F46" s="717">
        <f t="shared" si="5"/>
        <v>175.48945892127483</v>
      </c>
      <c r="G46" s="717">
        <f t="shared" ca="1" si="5"/>
        <v>2726.5350801826057</v>
      </c>
      <c r="H46" s="717">
        <f t="shared" si="5"/>
        <v>0</v>
      </c>
      <c r="I46" s="717">
        <f t="shared" si="5"/>
        <v>0</v>
      </c>
      <c r="J46" s="717">
        <f t="shared" si="5"/>
        <v>0</v>
      </c>
      <c r="K46" s="717">
        <f t="shared" si="5"/>
        <v>14.51566553218661</v>
      </c>
      <c r="L46" s="717">
        <f t="shared" si="5"/>
        <v>0</v>
      </c>
      <c r="M46" s="717">
        <f t="shared" ca="1" si="5"/>
        <v>0</v>
      </c>
      <c r="N46" s="717">
        <f t="shared" si="5"/>
        <v>0</v>
      </c>
      <c r="O46" s="717">
        <f t="shared" ca="1" si="5"/>
        <v>0</v>
      </c>
      <c r="P46" s="717">
        <f t="shared" si="5"/>
        <v>0</v>
      </c>
      <c r="Q46" s="717">
        <f t="shared" si="5"/>
        <v>0</v>
      </c>
      <c r="R46" s="717">
        <f ca="1">SUM(R39:R45)</f>
        <v>18616.192257893737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1.296632044017501</v>
      </c>
      <c r="D49" s="681">
        <f ca="1">transport!C58</f>
        <v>0</v>
      </c>
      <c r="E49" s="681">
        <f>transport!D58</f>
        <v>0</v>
      </c>
      <c r="F49" s="681">
        <f>transport!E58</f>
        <v>0</v>
      </c>
      <c r="G49" s="681">
        <f>transport!F58</f>
        <v>0</v>
      </c>
      <c r="H49" s="681">
        <f>transport!G58</f>
        <v>125.61665849461265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126.91329053863015</v>
      </c>
    </row>
    <row r="50" spans="1:18">
      <c r="A50" s="818" t="s">
        <v>301</v>
      </c>
      <c r="B50" s="828"/>
      <c r="C50" s="687">
        <f ca="1">transport!B18</f>
        <v>1.723284349947299</v>
      </c>
      <c r="D50" s="687">
        <f>transport!C18</f>
        <v>0</v>
      </c>
      <c r="E50" s="687">
        <f>transport!D18</f>
        <v>2.9943264525111291</v>
      </c>
      <c r="F50" s="687">
        <f>transport!E18</f>
        <v>2.9366491562171126</v>
      </c>
      <c r="G50" s="687">
        <f>transport!F18</f>
        <v>0</v>
      </c>
      <c r="H50" s="687">
        <f>transport!G18</f>
        <v>1401.3029725373847</v>
      </c>
      <c r="I50" s="687">
        <f>transport!H18</f>
        <v>328.78536607606293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1737.7425985721231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3.0199163939647997</v>
      </c>
      <c r="D52" s="717">
        <f t="shared" ref="D52:Q52" ca="1" si="6">SUM(D48:D51)</f>
        <v>0</v>
      </c>
      <c r="E52" s="717">
        <f t="shared" si="6"/>
        <v>2.9943264525111291</v>
      </c>
      <c r="F52" s="717">
        <f t="shared" si="6"/>
        <v>2.9366491562171126</v>
      </c>
      <c r="G52" s="717">
        <f t="shared" si="6"/>
        <v>0</v>
      </c>
      <c r="H52" s="717">
        <f t="shared" si="6"/>
        <v>1526.9196310319974</v>
      </c>
      <c r="I52" s="717">
        <f t="shared" si="6"/>
        <v>328.78536607606293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1864.6558891107534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10.489517852177977</v>
      </c>
      <c r="D54" s="687">
        <f ca="1">+landbouw!C12</f>
        <v>0</v>
      </c>
      <c r="E54" s="687">
        <f>+landbouw!D12</f>
        <v>62.884115168468</v>
      </c>
      <c r="F54" s="687">
        <f>+landbouw!E12</f>
        <v>0.37217086390655701</v>
      </c>
      <c r="G54" s="687">
        <f>+landbouw!F12</f>
        <v>49.569981081954339</v>
      </c>
      <c r="H54" s="687">
        <f>+landbouw!G12</f>
        <v>0</v>
      </c>
      <c r="I54" s="687">
        <f>+landbouw!H12</f>
        <v>0</v>
      </c>
      <c r="J54" s="687">
        <f>+landbouw!I12</f>
        <v>0</v>
      </c>
      <c r="K54" s="687">
        <f>+landbouw!J12</f>
        <v>5.1234574130104349</v>
      </c>
      <c r="L54" s="687">
        <f>+landbouw!K12</f>
        <v>0</v>
      </c>
      <c r="M54" s="687">
        <f>+landbouw!L12</f>
        <v>0</v>
      </c>
      <c r="N54" s="687">
        <f>+landbouw!M12</f>
        <v>0</v>
      </c>
      <c r="O54" s="687">
        <f>+landbouw!N12</f>
        <v>0</v>
      </c>
      <c r="P54" s="687">
        <f>+landbouw!O12</f>
        <v>0</v>
      </c>
      <c r="Q54" s="688">
        <f>+landbouw!P12</f>
        <v>0</v>
      </c>
      <c r="R54" s="716">
        <f ca="1">SUM(C54:Q54)</f>
        <v>128.43924237951731</v>
      </c>
    </row>
    <row r="55" spans="1:18" ht="15" thickBot="1">
      <c r="A55" s="818" t="s">
        <v>714</v>
      </c>
      <c r="B55" s="828"/>
      <c r="C55" s="687">
        <f ca="1">C25*'EF ele_warmte'!B12</f>
        <v>55.970733197555184</v>
      </c>
      <c r="D55" s="687"/>
      <c r="E55" s="687">
        <f>E25*EF_CO2_aardgas</f>
        <v>182.26716863200002</v>
      </c>
      <c r="F55" s="687"/>
      <c r="G55" s="687"/>
      <c r="H55" s="687"/>
      <c r="I55" s="687"/>
      <c r="J55" s="687"/>
      <c r="K55" s="687"/>
      <c r="L55" s="687"/>
      <c r="M55" s="687"/>
      <c r="N55" s="687"/>
      <c r="O55" s="687"/>
      <c r="P55" s="687"/>
      <c r="Q55" s="688"/>
      <c r="R55" s="716">
        <f ca="1">SUM(C55:Q55)</f>
        <v>238.2379018295552</v>
      </c>
    </row>
    <row r="56" spans="1:18" ht="15.75" thickBot="1">
      <c r="A56" s="816" t="s">
        <v>715</v>
      </c>
      <c r="B56" s="829"/>
      <c r="C56" s="717">
        <f ca="1">SUM(C54:C55)</f>
        <v>66.460251049733159</v>
      </c>
      <c r="D56" s="717">
        <f t="shared" ref="D56:Q56" ca="1" si="7">SUM(D54:D55)</f>
        <v>0</v>
      </c>
      <c r="E56" s="717">
        <f t="shared" si="7"/>
        <v>245.15128380046804</v>
      </c>
      <c r="F56" s="717">
        <f t="shared" si="7"/>
        <v>0.37217086390655701</v>
      </c>
      <c r="G56" s="717">
        <f t="shared" si="7"/>
        <v>49.569981081954339</v>
      </c>
      <c r="H56" s="717">
        <f t="shared" si="7"/>
        <v>0</v>
      </c>
      <c r="I56" s="717">
        <f t="shared" si="7"/>
        <v>0</v>
      </c>
      <c r="J56" s="717">
        <f t="shared" si="7"/>
        <v>0</v>
      </c>
      <c r="K56" s="717">
        <f t="shared" si="7"/>
        <v>5.1234574130104349</v>
      </c>
      <c r="L56" s="717">
        <f t="shared" si="7"/>
        <v>0</v>
      </c>
      <c r="M56" s="717">
        <f t="shared" si="7"/>
        <v>0</v>
      </c>
      <c r="N56" s="717">
        <f t="shared" si="7"/>
        <v>0</v>
      </c>
      <c r="O56" s="717">
        <f t="shared" si="7"/>
        <v>0</v>
      </c>
      <c r="P56" s="717">
        <f t="shared" si="7"/>
        <v>0</v>
      </c>
      <c r="Q56" s="718">
        <f t="shared" si="7"/>
        <v>0</v>
      </c>
      <c r="R56" s="719">
        <f ca="1">SUM(R54:R55)</f>
        <v>366.67714420907248</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4566.8404940103783</v>
      </c>
      <c r="D61" s="725">
        <f t="shared" ref="D61:Q61" ca="1" si="8">D46+D52+D56</f>
        <v>0</v>
      </c>
      <c r="E61" s="725">
        <f t="shared" ca="1" si="8"/>
        <v>11450.437336943969</v>
      </c>
      <c r="F61" s="725">
        <f t="shared" si="8"/>
        <v>178.79827894139848</v>
      </c>
      <c r="G61" s="725">
        <f t="shared" ca="1" si="8"/>
        <v>2776.1050612645599</v>
      </c>
      <c r="H61" s="725">
        <f t="shared" si="8"/>
        <v>1526.9196310319974</v>
      </c>
      <c r="I61" s="725">
        <f t="shared" si="8"/>
        <v>328.78536607606293</v>
      </c>
      <c r="J61" s="725">
        <f t="shared" si="8"/>
        <v>0</v>
      </c>
      <c r="K61" s="725">
        <f t="shared" si="8"/>
        <v>19.639122945197045</v>
      </c>
      <c r="L61" s="725">
        <f t="shared" si="8"/>
        <v>0</v>
      </c>
      <c r="M61" s="725">
        <f t="shared" ca="1" si="8"/>
        <v>0</v>
      </c>
      <c r="N61" s="725">
        <f t="shared" si="8"/>
        <v>0</v>
      </c>
      <c r="O61" s="725">
        <f t="shared" ca="1" si="8"/>
        <v>0</v>
      </c>
      <c r="P61" s="725">
        <f t="shared" si="8"/>
        <v>0</v>
      </c>
      <c r="Q61" s="725">
        <f t="shared" si="8"/>
        <v>0</v>
      </c>
      <c r="R61" s="725">
        <f ca="1">R46+R52+R56</f>
        <v>20847.525291213562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0.19967706892756129</v>
      </c>
      <c r="D63" s="771">
        <f t="shared" ca="1" si="9"/>
        <v>0</v>
      </c>
      <c r="E63" s="969">
        <f t="shared" ca="1" si="9"/>
        <v>0.20200000000000001</v>
      </c>
      <c r="F63" s="771">
        <f t="shared" si="9"/>
        <v>0.22699999999999998</v>
      </c>
      <c r="G63" s="771">
        <f t="shared" ca="1" si="9"/>
        <v>0.26699999999999996</v>
      </c>
      <c r="H63" s="771">
        <f t="shared" si="9"/>
        <v>0.26700000000000002</v>
      </c>
      <c r="I63" s="771">
        <f t="shared" si="9"/>
        <v>0.24899999999999997</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2206.6948406301185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2206.6948406301185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14355.70387609068</v>
      </c>
      <c r="C4" s="448">
        <f>huishoudens!C8</f>
        <v>0</v>
      </c>
      <c r="D4" s="448">
        <f>huishoudens!D8</f>
        <v>41015.609656120003</v>
      </c>
      <c r="E4" s="448">
        <f>huishoudens!E8</f>
        <v>563.59409319609392</v>
      </c>
      <c r="F4" s="448">
        <f>huishoudens!F8</f>
        <v>9085.8879440986475</v>
      </c>
      <c r="G4" s="448">
        <f>huishoudens!G8</f>
        <v>0</v>
      </c>
      <c r="H4" s="448">
        <f>huishoudens!H8</f>
        <v>0</v>
      </c>
      <c r="I4" s="448">
        <f>huishoudens!I8</f>
        <v>0</v>
      </c>
      <c r="J4" s="448">
        <f>huishoudens!J8</f>
        <v>36.297721756619225</v>
      </c>
      <c r="K4" s="448">
        <f>huishoudens!K8</f>
        <v>0</v>
      </c>
      <c r="L4" s="448">
        <f>huishoudens!L8</f>
        <v>0</v>
      </c>
      <c r="M4" s="448">
        <f>huishoudens!M8</f>
        <v>0</v>
      </c>
      <c r="N4" s="448">
        <f>huishoudens!N8</f>
        <v>4407.8280931808004</v>
      </c>
      <c r="O4" s="448">
        <f>huishoudens!O8</f>
        <v>168.63644864789771</v>
      </c>
      <c r="P4" s="449">
        <f>huishoudens!P8</f>
        <v>273.88294199981061</v>
      </c>
      <c r="Q4" s="450">
        <f>SUM(B4:P4)</f>
        <v>69907.440775090552</v>
      </c>
    </row>
    <row r="5" spans="1:17">
      <c r="A5" s="447" t="s">
        <v>155</v>
      </c>
      <c r="B5" s="448">
        <f ca="1">tertiair!B16</f>
        <v>6640.2998690000004</v>
      </c>
      <c r="C5" s="448">
        <f ca="1">tertiair!C16</f>
        <v>0</v>
      </c>
      <c r="D5" s="448">
        <f ca="1">tertiair!D16</f>
        <v>13282.895547658001</v>
      </c>
      <c r="E5" s="448">
        <f>tertiair!E16</f>
        <v>93.622268957227931</v>
      </c>
      <c r="F5" s="448">
        <f ca="1">tertiair!F16</f>
        <v>747.37048541226682</v>
      </c>
      <c r="G5" s="448">
        <f>tertiair!G16</f>
        <v>0</v>
      </c>
      <c r="H5" s="448">
        <f>tertiair!H16</f>
        <v>0</v>
      </c>
      <c r="I5" s="448">
        <f>tertiair!I16</f>
        <v>0</v>
      </c>
      <c r="J5" s="448">
        <f>tertiair!J16</f>
        <v>8.0159435847850461E-3</v>
      </c>
      <c r="K5" s="448">
        <f>tertiair!K16</f>
        <v>0</v>
      </c>
      <c r="L5" s="448">
        <f ca="1">tertiair!L16</f>
        <v>0</v>
      </c>
      <c r="M5" s="448">
        <f>tertiair!M16</f>
        <v>0</v>
      </c>
      <c r="N5" s="448">
        <f ca="1">tertiair!N16</f>
        <v>318.45893098268664</v>
      </c>
      <c r="O5" s="448">
        <f>tertiair!O16</f>
        <v>0</v>
      </c>
      <c r="P5" s="449">
        <f>tertiair!P16</f>
        <v>52.539138306495019</v>
      </c>
      <c r="Q5" s="447">
        <f t="shared" ref="Q5:Q14" ca="1" si="0">SUM(B5:P5)</f>
        <v>21135.194256260267</v>
      </c>
    </row>
    <row r="6" spans="1:17">
      <c r="A6" s="447" t="s">
        <v>193</v>
      </c>
      <c r="B6" s="448">
        <f>'openbare verlichting'!B8</f>
        <v>438.56599999999997</v>
      </c>
      <c r="C6" s="448"/>
      <c r="D6" s="448"/>
      <c r="E6" s="448"/>
      <c r="F6" s="448"/>
      <c r="G6" s="448"/>
      <c r="H6" s="448"/>
      <c r="I6" s="448"/>
      <c r="J6" s="448"/>
      <c r="K6" s="448"/>
      <c r="L6" s="448"/>
      <c r="M6" s="448"/>
      <c r="N6" s="448"/>
      <c r="O6" s="448"/>
      <c r="P6" s="449"/>
      <c r="Q6" s="447">
        <f t="shared" si="0"/>
        <v>438.56599999999997</v>
      </c>
    </row>
    <row r="7" spans="1:17">
      <c r="A7" s="447" t="s">
        <v>111</v>
      </c>
      <c r="B7" s="448">
        <f>landbouw!B8</f>
        <v>52.532411000000003</v>
      </c>
      <c r="C7" s="448">
        <f>landbouw!C8</f>
        <v>0</v>
      </c>
      <c r="D7" s="448">
        <f>landbouw!D8</f>
        <v>311.307500834</v>
      </c>
      <c r="E7" s="448">
        <f>landbouw!E8</f>
        <v>1.6395192242579604</v>
      </c>
      <c r="F7" s="448">
        <f>landbouw!F8</f>
        <v>185.65535985750688</v>
      </c>
      <c r="G7" s="448">
        <f>landbouw!G8</f>
        <v>0</v>
      </c>
      <c r="H7" s="448">
        <f>landbouw!H8</f>
        <v>0</v>
      </c>
      <c r="I7" s="448">
        <f>landbouw!I8</f>
        <v>0</v>
      </c>
      <c r="J7" s="448">
        <f>landbouw!J8</f>
        <v>14.473043539577501</v>
      </c>
      <c r="K7" s="448">
        <f>landbouw!K8</f>
        <v>0</v>
      </c>
      <c r="L7" s="448">
        <f>landbouw!L8</f>
        <v>0</v>
      </c>
      <c r="M7" s="448">
        <f>landbouw!M8</f>
        <v>0</v>
      </c>
      <c r="N7" s="448">
        <f>landbouw!N8</f>
        <v>0</v>
      </c>
      <c r="O7" s="448">
        <f>landbouw!O8</f>
        <v>0</v>
      </c>
      <c r="P7" s="449">
        <f>landbouw!P8</f>
        <v>0</v>
      </c>
      <c r="Q7" s="447">
        <f t="shared" si="0"/>
        <v>565.6078344553423</v>
      </c>
    </row>
    <row r="8" spans="1:17">
      <c r="A8" s="447" t="s">
        <v>618</v>
      </c>
      <c r="B8" s="448">
        <f>industrie!B18</f>
        <v>1088.5990430000002</v>
      </c>
      <c r="C8" s="448">
        <f>industrie!C18</f>
        <v>0</v>
      </c>
      <c r="D8" s="448">
        <f>industrie!D18</f>
        <v>1158.3845323159999</v>
      </c>
      <c r="E8" s="448">
        <f>industrie!E18</f>
        <v>115.86495468048795</v>
      </c>
      <c r="F8" s="448">
        <f>industrie!F18</f>
        <v>378.48344383217909</v>
      </c>
      <c r="G8" s="448">
        <f>industrie!G18</f>
        <v>0</v>
      </c>
      <c r="H8" s="448">
        <f>industrie!H18</f>
        <v>0</v>
      </c>
      <c r="I8" s="448">
        <f>industrie!I18</f>
        <v>0</v>
      </c>
      <c r="J8" s="448">
        <f>industrie!J18</f>
        <v>4.6989671929785075</v>
      </c>
      <c r="K8" s="448">
        <f>industrie!K18</f>
        <v>0</v>
      </c>
      <c r="L8" s="448">
        <f>industrie!L18</f>
        <v>0</v>
      </c>
      <c r="M8" s="448">
        <f>industrie!M18</f>
        <v>0</v>
      </c>
      <c r="N8" s="448">
        <f>industrie!N18</f>
        <v>54.706940156080421</v>
      </c>
      <c r="O8" s="448">
        <f>industrie!O18</f>
        <v>0</v>
      </c>
      <c r="P8" s="449">
        <f>industrie!P18</f>
        <v>0</v>
      </c>
      <c r="Q8" s="447">
        <f t="shared" si="0"/>
        <v>2800.7378811777262</v>
      </c>
    </row>
    <row r="9" spans="1:17" s="453" customFormat="1">
      <c r="A9" s="451" t="s">
        <v>544</v>
      </c>
      <c r="B9" s="452">
        <f>transport!B14</f>
        <v>8.630356801623881</v>
      </c>
      <c r="C9" s="452">
        <f>transport!C14</f>
        <v>0</v>
      </c>
      <c r="D9" s="452">
        <f>transport!D14</f>
        <v>14.823398279758063</v>
      </c>
      <c r="E9" s="452">
        <f>transport!E14</f>
        <v>12.936780423863931</v>
      </c>
      <c r="F9" s="452">
        <f>transport!F14</f>
        <v>0</v>
      </c>
      <c r="G9" s="452">
        <f>transport!G14</f>
        <v>5248.3257398403921</v>
      </c>
      <c r="H9" s="452">
        <f>transport!H14</f>
        <v>1320.4231569319797</v>
      </c>
      <c r="I9" s="452">
        <f>transport!I14</f>
        <v>0</v>
      </c>
      <c r="J9" s="452">
        <f>transport!J14</f>
        <v>0</v>
      </c>
      <c r="K9" s="452">
        <f>transport!K14</f>
        <v>0</v>
      </c>
      <c r="L9" s="452">
        <f>transport!L14</f>
        <v>0</v>
      </c>
      <c r="M9" s="452">
        <f>transport!M14</f>
        <v>389.94868331655573</v>
      </c>
      <c r="N9" s="452">
        <f>transport!N14</f>
        <v>0</v>
      </c>
      <c r="O9" s="452">
        <f>transport!O14</f>
        <v>0</v>
      </c>
      <c r="P9" s="452">
        <f>transport!P14</f>
        <v>0</v>
      </c>
      <c r="Q9" s="451">
        <f>SUM(B9:P9)</f>
        <v>6995.0881155941734</v>
      </c>
    </row>
    <row r="10" spans="1:17">
      <c r="A10" s="447" t="s">
        <v>534</v>
      </c>
      <c r="B10" s="448">
        <f>transport!B54</f>
        <v>6.4936452191608067</v>
      </c>
      <c r="C10" s="448">
        <f>transport!C54</f>
        <v>0</v>
      </c>
      <c r="D10" s="448">
        <f>transport!D54</f>
        <v>0</v>
      </c>
      <c r="E10" s="448">
        <f>transport!E54</f>
        <v>0</v>
      </c>
      <c r="F10" s="448">
        <f>transport!F54</f>
        <v>0</v>
      </c>
      <c r="G10" s="448">
        <f>transport!G54</f>
        <v>470.474376384317</v>
      </c>
      <c r="H10" s="448">
        <f>transport!H54</f>
        <v>0</v>
      </c>
      <c r="I10" s="448">
        <f>transport!I54</f>
        <v>0</v>
      </c>
      <c r="J10" s="448">
        <f>transport!J54</f>
        <v>0</v>
      </c>
      <c r="K10" s="448">
        <f>transport!K54</f>
        <v>0</v>
      </c>
      <c r="L10" s="448">
        <f>transport!L54</f>
        <v>0</v>
      </c>
      <c r="M10" s="448">
        <f>transport!M54</f>
        <v>26.611431801482567</v>
      </c>
      <c r="N10" s="448">
        <f>transport!N54</f>
        <v>0</v>
      </c>
      <c r="O10" s="448">
        <f>transport!O54</f>
        <v>0</v>
      </c>
      <c r="P10" s="449">
        <f>transport!P54</f>
        <v>0</v>
      </c>
      <c r="Q10" s="447">
        <f t="shared" si="0"/>
        <v>503.57945340496036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280.306264</v>
      </c>
      <c r="C14" s="455"/>
      <c r="D14" s="455">
        <f>'SEAP template'!E25</f>
        <v>902.31271600000002</v>
      </c>
      <c r="E14" s="455"/>
      <c r="F14" s="455"/>
      <c r="G14" s="455"/>
      <c r="H14" s="455"/>
      <c r="I14" s="455"/>
      <c r="J14" s="455"/>
      <c r="K14" s="455"/>
      <c r="L14" s="455"/>
      <c r="M14" s="455"/>
      <c r="N14" s="455"/>
      <c r="O14" s="455"/>
      <c r="P14" s="456"/>
      <c r="Q14" s="447">
        <f t="shared" si="0"/>
        <v>1182.61898</v>
      </c>
    </row>
    <row r="15" spans="1:17" s="459" customFormat="1">
      <c r="A15" s="457" t="s">
        <v>538</v>
      </c>
      <c r="B15" s="458">
        <f ca="1">SUM(B4:B14)</f>
        <v>22871.131465111466</v>
      </c>
      <c r="C15" s="458">
        <f t="shared" ref="C15:Q15" ca="1" si="1">SUM(C4:C14)</f>
        <v>0</v>
      </c>
      <c r="D15" s="458">
        <f t="shared" ca="1" si="1"/>
        <v>56685.333351207766</v>
      </c>
      <c r="E15" s="458">
        <f t="shared" si="1"/>
        <v>787.65761648193165</v>
      </c>
      <c r="F15" s="458">
        <f t="shared" ca="1" si="1"/>
        <v>10397.3972332006</v>
      </c>
      <c r="G15" s="458">
        <f t="shared" si="1"/>
        <v>5718.8001162247092</v>
      </c>
      <c r="H15" s="458">
        <f t="shared" si="1"/>
        <v>1320.4231569319797</v>
      </c>
      <c r="I15" s="458">
        <f t="shared" si="1"/>
        <v>0</v>
      </c>
      <c r="J15" s="458">
        <f t="shared" si="1"/>
        <v>55.477748432760023</v>
      </c>
      <c r="K15" s="458">
        <f t="shared" si="1"/>
        <v>0</v>
      </c>
      <c r="L15" s="458">
        <f t="shared" ca="1" si="1"/>
        <v>0</v>
      </c>
      <c r="M15" s="458">
        <f t="shared" si="1"/>
        <v>416.56011511803831</v>
      </c>
      <c r="N15" s="458">
        <f t="shared" ca="1" si="1"/>
        <v>4780.9939643195676</v>
      </c>
      <c r="O15" s="458">
        <f t="shared" si="1"/>
        <v>168.63644864789771</v>
      </c>
      <c r="P15" s="458">
        <f t="shared" si="1"/>
        <v>326.42208030630565</v>
      </c>
      <c r="Q15" s="458">
        <f t="shared" ca="1" si="1"/>
        <v>103528.83329598303</v>
      </c>
    </row>
    <row r="17" spans="1:17">
      <c r="A17" s="460" t="s">
        <v>539</v>
      </c>
      <c r="B17" s="776">
        <f ca="1">huishoudens!B10</f>
        <v>0.19967706892756126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2866.5048723698169</v>
      </c>
      <c r="C22" s="448">
        <f t="shared" ref="C22:C32" ca="1" si="3">C4*$C$17</f>
        <v>0</v>
      </c>
      <c r="D22" s="448">
        <f t="shared" ref="D22:D32" si="4">D4*$D$17</f>
        <v>8285.1531505362418</v>
      </c>
      <c r="E22" s="448">
        <f t="shared" ref="E22:E32" si="5">E4*$E$17</f>
        <v>127.93585915551333</v>
      </c>
      <c r="F22" s="448">
        <f t="shared" ref="F22:F32" si="6">F4*$F$17</f>
        <v>2425.9320810743388</v>
      </c>
      <c r="G22" s="448">
        <f t="shared" ref="G22:G32" si="7">G4*$G$17</f>
        <v>0</v>
      </c>
      <c r="H22" s="448">
        <f t="shared" ref="H22:H32" si="8">H4*$H$17</f>
        <v>0</v>
      </c>
      <c r="I22" s="448">
        <f t="shared" ref="I22:I32" si="9">I4*$I$17</f>
        <v>0</v>
      </c>
      <c r="J22" s="448">
        <f t="shared" ref="J22:J32" si="10">J4*$J$17</f>
        <v>12.849393501843204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13718.375356637755</v>
      </c>
    </row>
    <row r="23" spans="1:17">
      <c r="A23" s="447" t="s">
        <v>155</v>
      </c>
      <c r="B23" s="448">
        <f t="shared" ca="1" si="2"/>
        <v>1325.9156146419891</v>
      </c>
      <c r="C23" s="448">
        <f t="shared" ca="1" si="3"/>
        <v>0</v>
      </c>
      <c r="D23" s="448">
        <f t="shared" ca="1" si="4"/>
        <v>2683.1449006269163</v>
      </c>
      <c r="E23" s="448">
        <f t="shared" si="5"/>
        <v>21.252255053290742</v>
      </c>
      <c r="F23" s="448">
        <f t="shared" ca="1" si="6"/>
        <v>199.54791960507526</v>
      </c>
      <c r="G23" s="448">
        <f t="shared" si="7"/>
        <v>0</v>
      </c>
      <c r="H23" s="448">
        <f t="shared" si="8"/>
        <v>0</v>
      </c>
      <c r="I23" s="448">
        <f t="shared" si="9"/>
        <v>0</v>
      </c>
      <c r="J23" s="448">
        <f t="shared" si="10"/>
        <v>2.8376440290139061E-3</v>
      </c>
      <c r="K23" s="448">
        <f t="shared" si="11"/>
        <v>0</v>
      </c>
      <c r="L23" s="448">
        <f t="shared" ca="1" si="12"/>
        <v>0</v>
      </c>
      <c r="M23" s="448">
        <f t="shared" si="13"/>
        <v>0</v>
      </c>
      <c r="N23" s="448">
        <f t="shared" ca="1" si="14"/>
        <v>0</v>
      </c>
      <c r="O23" s="448">
        <f t="shared" si="15"/>
        <v>0</v>
      </c>
      <c r="P23" s="449">
        <f t="shared" si="16"/>
        <v>0</v>
      </c>
      <c r="Q23" s="447">
        <f t="shared" ref="Q23:Q31" ca="1" si="17">SUM(B23:P23)</f>
        <v>4229.8635275713004</v>
      </c>
    </row>
    <row r="24" spans="1:17">
      <c r="A24" s="447" t="s">
        <v>193</v>
      </c>
      <c r="B24" s="448">
        <f t="shared" ca="1" si="2"/>
        <v>87.571573411284831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87.571573411284831</v>
      </c>
    </row>
    <row r="25" spans="1:17">
      <c r="A25" s="447" t="s">
        <v>111</v>
      </c>
      <c r="B25" s="448">
        <f t="shared" ca="1" si="2"/>
        <v>10.489517852177977</v>
      </c>
      <c r="C25" s="448">
        <f t="shared" ca="1" si="3"/>
        <v>0</v>
      </c>
      <c r="D25" s="448">
        <f t="shared" si="4"/>
        <v>62.884115168468</v>
      </c>
      <c r="E25" s="448">
        <f t="shared" si="5"/>
        <v>0.37217086390655701</v>
      </c>
      <c r="F25" s="448">
        <f t="shared" si="6"/>
        <v>49.569981081954339</v>
      </c>
      <c r="G25" s="448">
        <f t="shared" si="7"/>
        <v>0</v>
      </c>
      <c r="H25" s="448">
        <f t="shared" si="8"/>
        <v>0</v>
      </c>
      <c r="I25" s="448">
        <f t="shared" si="9"/>
        <v>0</v>
      </c>
      <c r="J25" s="448">
        <f t="shared" si="10"/>
        <v>5.1234574130104349</v>
      </c>
      <c r="K25" s="448">
        <f t="shared" si="11"/>
        <v>0</v>
      </c>
      <c r="L25" s="448">
        <f t="shared" si="12"/>
        <v>0</v>
      </c>
      <c r="M25" s="448">
        <f t="shared" si="13"/>
        <v>0</v>
      </c>
      <c r="N25" s="448">
        <f t="shared" si="14"/>
        <v>0</v>
      </c>
      <c r="O25" s="448">
        <f t="shared" si="15"/>
        <v>0</v>
      </c>
      <c r="P25" s="449">
        <f t="shared" si="16"/>
        <v>0</v>
      </c>
      <c r="Q25" s="447">
        <f t="shared" ca="1" si="17"/>
        <v>128.43924237951731</v>
      </c>
    </row>
    <row r="26" spans="1:17">
      <c r="A26" s="447" t="s">
        <v>618</v>
      </c>
      <c r="B26" s="448">
        <f t="shared" ca="1" si="2"/>
        <v>217.36826614358827</v>
      </c>
      <c r="C26" s="448">
        <f t="shared" ca="1" si="3"/>
        <v>0</v>
      </c>
      <c r="D26" s="448">
        <f t="shared" si="4"/>
        <v>233.99367552783198</v>
      </c>
      <c r="E26" s="448">
        <f t="shared" si="5"/>
        <v>26.301344712470765</v>
      </c>
      <c r="F26" s="448">
        <f t="shared" si="6"/>
        <v>101.05507950319182</v>
      </c>
      <c r="G26" s="448">
        <f t="shared" si="7"/>
        <v>0</v>
      </c>
      <c r="H26" s="448">
        <f t="shared" si="8"/>
        <v>0</v>
      </c>
      <c r="I26" s="448">
        <f t="shared" si="9"/>
        <v>0</v>
      </c>
      <c r="J26" s="448">
        <f t="shared" si="10"/>
        <v>1.6634343863143917</v>
      </c>
      <c r="K26" s="448">
        <f t="shared" si="11"/>
        <v>0</v>
      </c>
      <c r="L26" s="448">
        <f t="shared" si="12"/>
        <v>0</v>
      </c>
      <c r="M26" s="448">
        <f t="shared" si="13"/>
        <v>0</v>
      </c>
      <c r="N26" s="448">
        <f t="shared" si="14"/>
        <v>0</v>
      </c>
      <c r="O26" s="448">
        <f t="shared" si="15"/>
        <v>0</v>
      </c>
      <c r="P26" s="449">
        <f t="shared" si="16"/>
        <v>0</v>
      </c>
      <c r="Q26" s="447">
        <f t="shared" ca="1" si="17"/>
        <v>580.38180027339729</v>
      </c>
    </row>
    <row r="27" spans="1:17" s="453" customFormat="1">
      <c r="A27" s="451" t="s">
        <v>544</v>
      </c>
      <c r="B27" s="770">
        <f t="shared" ca="1" si="2"/>
        <v>1.723284349947299</v>
      </c>
      <c r="C27" s="452">
        <f t="shared" ca="1" si="3"/>
        <v>0</v>
      </c>
      <c r="D27" s="452">
        <f t="shared" si="4"/>
        <v>2.9943264525111291</v>
      </c>
      <c r="E27" s="452">
        <f t="shared" si="5"/>
        <v>2.9366491562171126</v>
      </c>
      <c r="F27" s="452">
        <f t="shared" si="6"/>
        <v>0</v>
      </c>
      <c r="G27" s="452">
        <f t="shared" si="7"/>
        <v>1401.3029725373847</v>
      </c>
      <c r="H27" s="452">
        <f t="shared" si="8"/>
        <v>328.78536607606293</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1737.7425985721231</v>
      </c>
    </row>
    <row r="28" spans="1:17" ht="16.5" customHeight="1">
      <c r="A28" s="447" t="s">
        <v>534</v>
      </c>
      <c r="B28" s="448">
        <f t="shared" ca="1" si="2"/>
        <v>1.296632044017501</v>
      </c>
      <c r="C28" s="448">
        <f t="shared" ca="1" si="3"/>
        <v>0</v>
      </c>
      <c r="D28" s="448">
        <f t="shared" si="4"/>
        <v>0</v>
      </c>
      <c r="E28" s="448">
        <f t="shared" si="5"/>
        <v>0</v>
      </c>
      <c r="F28" s="448">
        <f t="shared" si="6"/>
        <v>0</v>
      </c>
      <c r="G28" s="448">
        <f t="shared" si="7"/>
        <v>125.61665849461265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126.91329053863015</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55.970733197555184</v>
      </c>
      <c r="C32" s="448">
        <f t="shared" ca="1" si="3"/>
        <v>0</v>
      </c>
      <c r="D32" s="448">
        <f t="shared" si="4"/>
        <v>182.26716863200002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238.2379018295552</v>
      </c>
    </row>
    <row r="33" spans="1:17" s="459" customFormat="1">
      <c r="A33" s="457" t="s">
        <v>538</v>
      </c>
      <c r="B33" s="458">
        <f ca="1">SUM(B22:B32)</f>
        <v>4566.8404940103774</v>
      </c>
      <c r="C33" s="458">
        <f t="shared" ref="C33:Q33" ca="1" si="19">SUM(C22:C32)</f>
        <v>0</v>
      </c>
      <c r="D33" s="458">
        <f t="shared" ca="1" si="19"/>
        <v>11450.437336943971</v>
      </c>
      <c r="E33" s="458">
        <f t="shared" si="19"/>
        <v>178.79827894139848</v>
      </c>
      <c r="F33" s="458">
        <f t="shared" ca="1" si="19"/>
        <v>2776.1050612645599</v>
      </c>
      <c r="G33" s="458">
        <f t="shared" si="19"/>
        <v>1526.9196310319974</v>
      </c>
      <c r="H33" s="458">
        <f t="shared" si="19"/>
        <v>328.78536607606293</v>
      </c>
      <c r="I33" s="458">
        <f t="shared" si="19"/>
        <v>0</v>
      </c>
      <c r="J33" s="458">
        <f t="shared" si="19"/>
        <v>19.639122945197045</v>
      </c>
      <c r="K33" s="458">
        <f t="shared" si="19"/>
        <v>0</v>
      </c>
      <c r="L33" s="458">
        <f t="shared" ca="1" si="19"/>
        <v>0</v>
      </c>
      <c r="M33" s="458">
        <f t="shared" si="19"/>
        <v>0</v>
      </c>
      <c r="N33" s="458">
        <f t="shared" ca="1" si="19"/>
        <v>0</v>
      </c>
      <c r="O33" s="458">
        <f t="shared" si="19"/>
        <v>0</v>
      </c>
      <c r="P33" s="458">
        <f t="shared" si="19"/>
        <v>0</v>
      </c>
      <c r="Q33" s="458">
        <f t="shared" ca="1" si="19"/>
        <v>20847.525291213562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2206.6948406301185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2206.6948406301185</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0.19967706892756126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0.19967706892756126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0.19967706892756126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0.19967706892756126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3442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123.65</v>
      </c>
      <c r="C14" s="326"/>
      <c r="D14" s="326"/>
      <c r="E14" s="326"/>
      <c r="F14" s="326"/>
    </row>
    <row r="15" spans="1:6">
      <c r="A15" s="1298" t="s">
        <v>183</v>
      </c>
      <c r="B15" s="1299">
        <v>0</v>
      </c>
      <c r="C15" s="326"/>
      <c r="D15" s="326"/>
      <c r="E15" s="326"/>
      <c r="F15" s="326"/>
    </row>
    <row r="16" spans="1:6">
      <c r="A16" s="1298" t="s">
        <v>6</v>
      </c>
      <c r="B16" s="1299">
        <v>0</v>
      </c>
      <c r="C16" s="326"/>
      <c r="D16" s="326"/>
      <c r="E16" s="326"/>
      <c r="F16" s="326"/>
    </row>
    <row r="17" spans="1:6">
      <c r="A17" s="1298" t="s">
        <v>7</v>
      </c>
      <c r="B17" s="1299">
        <v>47</v>
      </c>
      <c r="C17" s="326"/>
      <c r="D17" s="326"/>
      <c r="E17" s="326"/>
      <c r="F17" s="326"/>
    </row>
    <row r="18" spans="1:6">
      <c r="A18" s="1298" t="s">
        <v>8</v>
      </c>
      <c r="B18" s="1299">
        <v>42</v>
      </c>
      <c r="C18" s="326"/>
      <c r="D18" s="326"/>
      <c r="E18" s="326"/>
      <c r="F18" s="326"/>
    </row>
    <row r="19" spans="1:6">
      <c r="A19" s="1298" t="s">
        <v>9</v>
      </c>
      <c r="B19" s="1299">
        <v>28</v>
      </c>
      <c r="C19" s="326"/>
      <c r="D19" s="326"/>
      <c r="E19" s="326"/>
      <c r="F19" s="326"/>
    </row>
    <row r="20" spans="1:6">
      <c r="A20" s="1298" t="s">
        <v>10</v>
      </c>
      <c r="B20" s="1299">
        <v>24</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33</v>
      </c>
      <c r="C29" s="332"/>
      <c r="D29" s="332"/>
      <c r="E29" s="332"/>
      <c r="F29" s="332"/>
    </row>
    <row r="30" spans="1:6">
      <c r="A30" s="1293" t="s">
        <v>696</v>
      </c>
      <c r="B30" s="1302">
        <v>5</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134554.636</v>
      </c>
      <c r="E38" s="1299">
        <v>0</v>
      </c>
      <c r="F38" s="1299">
        <v>0</v>
      </c>
    </row>
    <row r="39" spans="1:6">
      <c r="A39" s="1298" t="s">
        <v>29</v>
      </c>
      <c r="B39" s="1298" t="s">
        <v>30</v>
      </c>
      <c r="C39" s="1299">
        <v>2908</v>
      </c>
      <c r="D39" s="1299">
        <v>45471851.060000002</v>
      </c>
      <c r="E39" s="1299">
        <v>3431</v>
      </c>
      <c r="F39" s="1299">
        <v>12578867.48</v>
      </c>
    </row>
    <row r="40" spans="1:6">
      <c r="A40" s="1298" t="s">
        <v>29</v>
      </c>
      <c r="B40" s="1298" t="s">
        <v>28</v>
      </c>
      <c r="C40" s="1299">
        <v>0</v>
      </c>
      <c r="D40" s="1299">
        <v>0</v>
      </c>
      <c r="E40" s="1299">
        <v>0</v>
      </c>
      <c r="F40" s="1299">
        <v>0</v>
      </c>
    </row>
    <row r="41" spans="1:6">
      <c r="A41" s="1298" t="s">
        <v>31</v>
      </c>
      <c r="B41" s="1298" t="s">
        <v>32</v>
      </c>
      <c r="C41" s="1299">
        <v>37</v>
      </c>
      <c r="D41" s="1299">
        <v>421059.375</v>
      </c>
      <c r="E41" s="1299">
        <v>64</v>
      </c>
      <c r="F41" s="1299">
        <v>319849.77799999999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57473.826000000001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24</v>
      </c>
      <c r="D48" s="1299">
        <v>863180.68299999996</v>
      </c>
      <c r="E48" s="1299">
        <v>26</v>
      </c>
      <c r="F48" s="1299">
        <v>561801.20299999998</v>
      </c>
    </row>
    <row r="49" spans="1:6">
      <c r="A49" s="1298" t="s">
        <v>31</v>
      </c>
      <c r="B49" s="1298" t="s">
        <v>39</v>
      </c>
      <c r="C49" s="1299">
        <v>0</v>
      </c>
      <c r="D49" s="1299">
        <v>0</v>
      </c>
      <c r="E49" s="1299">
        <v>0</v>
      </c>
      <c r="F49" s="1299">
        <v>0</v>
      </c>
    </row>
    <row r="50" spans="1:6">
      <c r="A50" s="1298" t="s">
        <v>31</v>
      </c>
      <c r="B50" s="1298" t="s">
        <v>40</v>
      </c>
      <c r="C50" s="1299">
        <v>0</v>
      </c>
      <c r="D50" s="1299">
        <v>0</v>
      </c>
      <c r="E50" s="1299">
        <v>3</v>
      </c>
      <c r="F50" s="1299">
        <v>149474.236</v>
      </c>
    </row>
    <row r="51" spans="1:6">
      <c r="A51" s="1298" t="s">
        <v>41</v>
      </c>
      <c r="B51" s="1298" t="s">
        <v>42</v>
      </c>
      <c r="C51" s="1299">
        <v>0</v>
      </c>
      <c r="D51" s="1299">
        <v>0</v>
      </c>
      <c r="E51" s="1299">
        <v>0</v>
      </c>
      <c r="F51" s="1299">
        <v>0</v>
      </c>
    </row>
    <row r="52" spans="1:6">
      <c r="A52" s="1298" t="s">
        <v>41</v>
      </c>
      <c r="B52" s="1298" t="s">
        <v>28</v>
      </c>
      <c r="C52" s="1299">
        <v>5</v>
      </c>
      <c r="D52" s="1299">
        <v>345130.26699999999</v>
      </c>
      <c r="E52" s="1299">
        <v>7</v>
      </c>
      <c r="F52" s="1299">
        <v>52532.411</v>
      </c>
    </row>
    <row r="53" spans="1:6">
      <c r="A53" s="1298" t="s">
        <v>43</v>
      </c>
      <c r="B53" s="1298" t="s">
        <v>44</v>
      </c>
      <c r="C53" s="1299">
        <v>41</v>
      </c>
      <c r="D53" s="1299">
        <v>902312.71600000001</v>
      </c>
      <c r="E53" s="1299">
        <v>119</v>
      </c>
      <c r="F53" s="1299">
        <v>280306.26400000002</v>
      </c>
    </row>
    <row r="54" spans="1:6">
      <c r="A54" s="1298" t="s">
        <v>45</v>
      </c>
      <c r="B54" s="1298" t="s">
        <v>46</v>
      </c>
      <c r="C54" s="1299">
        <v>0</v>
      </c>
      <c r="D54" s="1299">
        <v>0</v>
      </c>
      <c r="E54" s="1299">
        <v>1</v>
      </c>
      <c r="F54" s="1299">
        <v>438566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12</v>
      </c>
      <c r="D57" s="1299">
        <v>234919.04199999999</v>
      </c>
      <c r="E57" s="1299">
        <v>19</v>
      </c>
      <c r="F57" s="1299">
        <v>91162.284</v>
      </c>
    </row>
    <row r="58" spans="1:6">
      <c r="A58" s="1298" t="s">
        <v>48</v>
      </c>
      <c r="B58" s="1298" t="s">
        <v>50</v>
      </c>
      <c r="C58" s="1299">
        <v>6</v>
      </c>
      <c r="D58" s="1299">
        <v>930408.49199999997</v>
      </c>
      <c r="E58" s="1299">
        <v>9</v>
      </c>
      <c r="F58" s="1299">
        <v>191939.674</v>
      </c>
    </row>
    <row r="59" spans="1:6">
      <c r="A59" s="1298" t="s">
        <v>48</v>
      </c>
      <c r="B59" s="1298" t="s">
        <v>51</v>
      </c>
      <c r="C59" s="1299">
        <v>23</v>
      </c>
      <c r="D59" s="1299">
        <v>641181.50800000003</v>
      </c>
      <c r="E59" s="1299">
        <v>34</v>
      </c>
      <c r="F59" s="1299">
        <v>1237833.3430000001</v>
      </c>
    </row>
    <row r="60" spans="1:6">
      <c r="A60" s="1298" t="s">
        <v>48</v>
      </c>
      <c r="B60" s="1298" t="s">
        <v>52</v>
      </c>
      <c r="C60" s="1299">
        <v>30</v>
      </c>
      <c r="D60" s="1299">
        <v>2713115.827</v>
      </c>
      <c r="E60" s="1299">
        <v>39</v>
      </c>
      <c r="F60" s="1299">
        <v>854470.71200000006</v>
      </c>
    </row>
    <row r="61" spans="1:6">
      <c r="A61" s="1298" t="s">
        <v>48</v>
      </c>
      <c r="B61" s="1298" t="s">
        <v>53</v>
      </c>
      <c r="C61" s="1299">
        <v>78</v>
      </c>
      <c r="D61" s="1299">
        <v>2040753.6259999999</v>
      </c>
      <c r="E61" s="1299">
        <v>171</v>
      </c>
      <c r="F61" s="1299">
        <v>889706.66700000002</v>
      </c>
    </row>
    <row r="62" spans="1:6">
      <c r="A62" s="1298" t="s">
        <v>48</v>
      </c>
      <c r="B62" s="1298" t="s">
        <v>54</v>
      </c>
      <c r="C62" s="1299">
        <v>0</v>
      </c>
      <c r="D62" s="1299">
        <v>0</v>
      </c>
      <c r="E62" s="1299">
        <v>0</v>
      </c>
      <c r="F62" s="1299">
        <v>0</v>
      </c>
    </row>
    <row r="63" spans="1:6">
      <c r="A63" s="1298" t="s">
        <v>48</v>
      </c>
      <c r="B63" s="1298" t="s">
        <v>28</v>
      </c>
      <c r="C63" s="1299">
        <v>79</v>
      </c>
      <c r="D63" s="1299">
        <v>8165669.784</v>
      </c>
      <c r="E63" s="1299">
        <v>81</v>
      </c>
      <c r="F63" s="1299">
        <v>3375187.1889999998</v>
      </c>
    </row>
    <row r="64" spans="1:6">
      <c r="A64" s="1298" t="s">
        <v>55</v>
      </c>
      <c r="B64" s="1298" t="s">
        <v>56</v>
      </c>
      <c r="C64" s="1299">
        <v>0</v>
      </c>
      <c r="D64" s="1299">
        <v>0</v>
      </c>
      <c r="E64" s="1299">
        <v>0</v>
      </c>
      <c r="F64" s="1299">
        <v>0</v>
      </c>
    </row>
    <row r="65" spans="1:6">
      <c r="A65" s="1298" t="s">
        <v>55</v>
      </c>
      <c r="B65" s="1298" t="s">
        <v>28</v>
      </c>
      <c r="C65" s="1299">
        <v>1</v>
      </c>
      <c r="D65" s="1299">
        <v>8746.6059999999998</v>
      </c>
      <c r="E65" s="1299">
        <v>2</v>
      </c>
      <c r="F65" s="1299">
        <v>2218.1590000000001</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8806571</v>
      </c>
      <c r="E73" s="446"/>
      <c r="F73" s="326"/>
    </row>
    <row r="74" spans="1:6">
      <c r="A74" s="1298" t="s">
        <v>63</v>
      </c>
      <c r="B74" s="1298" t="s">
        <v>639</v>
      </c>
      <c r="C74" s="1312" t="s">
        <v>641</v>
      </c>
      <c r="D74" s="1313">
        <v>468618.5</v>
      </c>
      <c r="E74" s="446"/>
      <c r="F74" s="326"/>
    </row>
    <row r="75" spans="1:6">
      <c r="A75" s="1298" t="s">
        <v>64</v>
      </c>
      <c r="B75" s="1298" t="s">
        <v>638</v>
      </c>
      <c r="C75" s="1312" t="s">
        <v>642</v>
      </c>
      <c r="D75" s="1313">
        <v>551346</v>
      </c>
      <c r="E75" s="446"/>
      <c r="F75" s="326"/>
    </row>
    <row r="76" spans="1:6">
      <c r="A76" s="1298" t="s">
        <v>64</v>
      </c>
      <c r="B76" s="1298" t="s">
        <v>639</v>
      </c>
      <c r="C76" s="1312" t="s">
        <v>643</v>
      </c>
      <c r="D76" s="1313">
        <v>109.9</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137991</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1776.8363960906788</v>
      </c>
      <c r="C91" s="326"/>
      <c r="D91" s="326"/>
      <c r="E91" s="326"/>
      <c r="F91" s="326"/>
    </row>
    <row r="92" spans="1:6">
      <c r="A92" s="1293" t="s">
        <v>68</v>
      </c>
      <c r="B92" s="1294">
        <v>429.85844453943952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2094</v>
      </c>
      <c r="C97" s="326"/>
      <c r="D97" s="326"/>
      <c r="E97" s="326"/>
      <c r="F97" s="326"/>
    </row>
    <row r="98" spans="1:6">
      <c r="A98" s="1298" t="s">
        <v>71</v>
      </c>
      <c r="B98" s="1299">
        <v>0</v>
      </c>
      <c r="C98" s="326"/>
      <c r="D98" s="326"/>
      <c r="E98" s="326"/>
      <c r="F98" s="326"/>
    </row>
    <row r="99" spans="1:6">
      <c r="A99" s="1298" t="s">
        <v>72</v>
      </c>
      <c r="B99" s="1299">
        <v>15</v>
      </c>
      <c r="C99" s="326"/>
      <c r="D99" s="326"/>
      <c r="E99" s="326"/>
      <c r="F99" s="326"/>
    </row>
    <row r="100" spans="1:6">
      <c r="A100" s="1298" t="s">
        <v>73</v>
      </c>
      <c r="B100" s="1299">
        <v>262</v>
      </c>
      <c r="C100" s="326"/>
      <c r="D100" s="326"/>
      <c r="E100" s="326"/>
      <c r="F100" s="326"/>
    </row>
    <row r="101" spans="1:6">
      <c r="A101" s="1298" t="s">
        <v>74</v>
      </c>
      <c r="B101" s="1299">
        <v>28</v>
      </c>
      <c r="C101" s="326"/>
      <c r="D101" s="326"/>
      <c r="E101" s="326"/>
      <c r="F101" s="326"/>
    </row>
    <row r="102" spans="1:6">
      <c r="A102" s="1298" t="s">
        <v>75</v>
      </c>
      <c r="B102" s="1299">
        <v>30</v>
      </c>
      <c r="C102" s="326"/>
      <c r="D102" s="326"/>
      <c r="E102" s="326"/>
      <c r="F102" s="326"/>
    </row>
    <row r="103" spans="1:6">
      <c r="A103" s="1298" t="s">
        <v>76</v>
      </c>
      <c r="B103" s="1299">
        <v>29</v>
      </c>
      <c r="C103" s="326"/>
      <c r="D103" s="326"/>
      <c r="E103" s="326"/>
      <c r="F103" s="326"/>
    </row>
    <row r="104" spans="1:6">
      <c r="A104" s="1298" t="s">
        <v>77</v>
      </c>
      <c r="B104" s="1299">
        <v>310</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15</v>
      </c>
      <c r="C123" s="1299">
        <v>30</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55</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11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22871.131465111466</v>
      </c>
      <c r="C3" s="43" t="s">
        <v>169</v>
      </c>
      <c r="D3" s="43"/>
      <c r="E3" s="154"/>
      <c r="F3" s="43"/>
      <c r="G3" s="43"/>
      <c r="H3" s="43"/>
      <c r="I3" s="43"/>
      <c r="J3" s="43"/>
      <c r="K3" s="96"/>
    </row>
    <row r="4" spans="1:11">
      <c r="A4" s="354" t="s">
        <v>170</v>
      </c>
      <c r="B4" s="49">
        <f>IF(ISERROR('SEAP template'!B78+'SEAP template'!C78),0,'SEAP template'!B78+'SEAP template'!C78)</f>
        <v>2206.6948406301185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0.19967706892756126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438.56599999999997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438.56599999999997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0.19967706892756126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87.571573411284831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12578.867480000001</v>
      </c>
      <c r="C5" s="17">
        <f>IF(ISERROR('Eigen informatie GS &amp; warmtenet'!B59),0,'Eigen informatie GS &amp; warmtenet'!B59)</f>
        <v>0</v>
      </c>
      <c r="D5" s="30">
        <f>(SUM(HH_hh_gas_kWh,HH_rest_gas_kWh)/1000)*0.902</f>
        <v>41015.609656120003</v>
      </c>
      <c r="E5" s="17">
        <f>B32*B41</f>
        <v>563.59409319609392</v>
      </c>
      <c r="F5" s="17">
        <f>B36*B45</f>
        <v>9085.8879440986475</v>
      </c>
      <c r="G5" s="18"/>
      <c r="H5" s="17"/>
      <c r="I5" s="17"/>
      <c r="J5" s="17">
        <f>B35*B44+C35*C44</f>
        <v>36.297721756619225</v>
      </c>
      <c r="K5" s="17"/>
      <c r="L5" s="17"/>
      <c r="M5" s="17"/>
      <c r="N5" s="17">
        <f>B34*B43+C34*C43</f>
        <v>4407.8280931808004</v>
      </c>
      <c r="O5" s="17">
        <f>B52*B53*B54</f>
        <v>168.63644864789771</v>
      </c>
      <c r="P5" s="17">
        <f>B60*B61*B62/1000-B60*B61*B62/1000/B63</f>
        <v>273.88294199981061</v>
      </c>
    </row>
    <row r="6" spans="1:16">
      <c r="A6" s="16" t="s">
        <v>604</v>
      </c>
      <c r="B6" s="778">
        <f>kWh_PV_kleiner_dan_10kW</f>
        <v>1776.8363960906788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14355.70387609068</v>
      </c>
      <c r="C8" s="21">
        <f>C5</f>
        <v>0</v>
      </c>
      <c r="D8" s="21">
        <f>D5</f>
        <v>41015.609656120003</v>
      </c>
      <c r="E8" s="21">
        <f>E5</f>
        <v>563.59409319609392</v>
      </c>
      <c r="F8" s="21">
        <f>F5</f>
        <v>9085.8879440986475</v>
      </c>
      <c r="G8" s="21"/>
      <c r="H8" s="21"/>
      <c r="I8" s="21"/>
      <c r="J8" s="21">
        <f>J5</f>
        <v>36.297721756619225</v>
      </c>
      <c r="K8" s="21"/>
      <c r="L8" s="21">
        <f>L5</f>
        <v>0</v>
      </c>
      <c r="M8" s="21">
        <f>M5</f>
        <v>0</v>
      </c>
      <c r="N8" s="21">
        <f>N5</f>
        <v>4407.8280931808004</v>
      </c>
      <c r="O8" s="21">
        <f>O5</f>
        <v>168.63644864789771</v>
      </c>
      <c r="P8" s="21">
        <f>P5</f>
        <v>273.88294199981061</v>
      </c>
    </row>
    <row r="9" spans="1:16">
      <c r="B9" s="19"/>
      <c r="C9" s="19"/>
      <c r="D9" s="256"/>
      <c r="E9" s="19"/>
      <c r="F9" s="19"/>
      <c r="G9" s="19"/>
      <c r="H9" s="19"/>
      <c r="I9" s="19"/>
      <c r="J9" s="19"/>
      <c r="K9" s="19"/>
      <c r="L9" s="19"/>
      <c r="M9" s="19"/>
      <c r="N9" s="19"/>
      <c r="O9" s="19"/>
      <c r="P9" s="19"/>
    </row>
    <row r="10" spans="1:16">
      <c r="A10" s="24" t="s">
        <v>213</v>
      </c>
      <c r="B10" s="25">
        <f ca="1">'EF ele_warmte'!B12</f>
        <v>0.19967706892756126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2866.5048723698169</v>
      </c>
      <c r="C12" s="23">
        <f ca="1">C10*C8</f>
        <v>0</v>
      </c>
      <c r="D12" s="23">
        <f>D8*D10</f>
        <v>8285.1531505362418</v>
      </c>
      <c r="E12" s="23">
        <f>E10*E8</f>
        <v>127.93585915551333</v>
      </c>
      <c r="F12" s="23">
        <f>F10*F8</f>
        <v>2425.9320810743388</v>
      </c>
      <c r="G12" s="23"/>
      <c r="H12" s="23"/>
      <c r="I12" s="23"/>
      <c r="J12" s="23">
        <f>J10*J8</f>
        <v>12.849393501843204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3442</v>
      </c>
      <c r="C26" s="36"/>
      <c r="D26" s="226"/>
    </row>
    <row r="27" spans="1:7" s="15" customFormat="1">
      <c r="A27" s="228" t="s">
        <v>806</v>
      </c>
      <c r="B27" s="37">
        <f>SUM(HH_hh_gas_aantal,HH_rest_gas_aantal)</f>
        <v>2908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2762.6</v>
      </c>
      <c r="C31" s="166" t="s">
        <v>110</v>
      </c>
      <c r="D31" s="231"/>
      <c r="G31" s="15"/>
    </row>
    <row r="32" spans="1:7">
      <c r="A32" s="169" t="s">
        <v>72</v>
      </c>
      <c r="B32" s="166">
        <f>IF((B21*($B$26-($B$27-0.05*$B$27)-$B$60))&lt;0,0,B21*($B$26-($B$27-0.05*$B$27)-$B$60))</f>
        <v>10.372854826616933</v>
      </c>
      <c r="C32" s="166" t="s">
        <v>110</v>
      </c>
      <c r="D32" s="231"/>
      <c r="G32" s="15"/>
    </row>
    <row r="33" spans="1:7">
      <c r="A33" s="169" t="s">
        <v>73</v>
      </c>
      <c r="B33" s="166">
        <f>IF((B22*($B$26-($B$27-0.05*$B$27)-$B$60))&lt;0,0,B22*($B$26-($B$27-0.05*$B$27)-$B$60))</f>
        <v>168.43461871978991</v>
      </c>
      <c r="C33" s="166" t="s">
        <v>110</v>
      </c>
      <c r="D33" s="231"/>
      <c r="G33" s="15"/>
    </row>
    <row r="34" spans="1:7">
      <c r="A34" s="169" t="s">
        <v>74</v>
      </c>
      <c r="B34" s="166">
        <f>IF((B24*($B$26-($B$27-0.05*$B$27)-$B$60))&lt;0,0,B24*($B$26-($B$27-0.05*$B$27)-$B$60))</f>
        <v>32.29117047882125</v>
      </c>
      <c r="C34" s="166">
        <f>B26*C24</f>
        <v>705.2862448141251</v>
      </c>
      <c r="D34" s="231"/>
      <c r="G34" s="15"/>
    </row>
    <row r="35" spans="1:7">
      <c r="A35" s="169" t="s">
        <v>76</v>
      </c>
      <c r="B35" s="166">
        <f>IF((B19*($B$26-($B$27-0.05*$B$27)-$B$60))&lt;0,0,B19*($B$26-($B$27-0.05*$B$27)-$B$60))</f>
        <v>4.5090552635675918</v>
      </c>
      <c r="C35" s="166">
        <f>B35/2</f>
        <v>2.2545276317837959</v>
      </c>
      <c r="D35" s="232"/>
      <c r="G35" s="15"/>
    </row>
    <row r="36" spans="1:7">
      <c r="A36" s="169" t="s">
        <v>77</v>
      </c>
      <c r="B36" s="166">
        <f>IF((B18*($B$26-($B$27-0.05*$B$27)-$B$60))&lt;0,0,B18*($B$26-($B$27-0.05*$B$27)-$B$60))</f>
        <v>437.79230071120429</v>
      </c>
      <c r="C36" s="166" t="s">
        <v>110</v>
      </c>
      <c r="D36" s="232"/>
      <c r="G36" s="15"/>
    </row>
    <row r="37" spans="1:7">
      <c r="A37" s="169" t="s">
        <v>78</v>
      </c>
      <c r="B37" s="166">
        <f>B60</f>
        <v>26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85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6640.2998690000004</v>
      </c>
      <c r="C5" s="17">
        <f>IF(ISERROR('Eigen informatie GS &amp; warmtenet'!B60),0,'Eigen informatie GS &amp; warmtenet'!B60)</f>
        <v>0</v>
      </c>
      <c r="D5" s="30">
        <f>SUM(D6:D12)</f>
        <v>13282.895547658001</v>
      </c>
      <c r="E5" s="17">
        <f>SUM(E6:E12)</f>
        <v>93.622268957227931</v>
      </c>
      <c r="F5" s="17">
        <f>SUM(F6:F12)</f>
        <v>747.37048541226682</v>
      </c>
      <c r="G5" s="18"/>
      <c r="H5" s="17"/>
      <c r="I5" s="17"/>
      <c r="J5" s="17">
        <f>SUM(J6:J12)</f>
        <v>8.0159435847850461E-3</v>
      </c>
      <c r="K5" s="17"/>
      <c r="L5" s="17"/>
      <c r="M5" s="17"/>
      <c r="N5" s="17">
        <f>SUM(N6:N12)</f>
        <v>318.45893098268664</v>
      </c>
      <c r="O5" s="17">
        <f>B38*B39*B40</f>
        <v>0</v>
      </c>
      <c r="P5" s="17">
        <f>B46*B47*B48/1000-B46*B47*B48/1000/B49</f>
        <v>52.539138306495019</v>
      </c>
      <c r="R5" s="32"/>
    </row>
    <row r="6" spans="1:18">
      <c r="A6" s="32" t="s">
        <v>53</v>
      </c>
      <c r="B6" s="37">
        <f>B26</f>
        <v>889.70666700000004</v>
      </c>
      <c r="C6" s="33"/>
      <c r="D6" s="37">
        <f>IF(ISERROR(TER_kantoor_gas_kWh/1000),0,TER_kantoor_gas_kWh/1000)*0.902</f>
        <v>1840.759770652</v>
      </c>
      <c r="E6" s="33">
        <f>$C$26*'E Balans VL '!I12/100/3.6*1000000</f>
        <v>7.1591842869179034</v>
      </c>
      <c r="F6" s="33">
        <f>$C$26*('E Balans VL '!L12+'E Balans VL '!N12)/100/3.6*1000000</f>
        <v>108.77599945523903</v>
      </c>
      <c r="G6" s="34"/>
      <c r="H6" s="33"/>
      <c r="I6" s="33"/>
      <c r="J6" s="33">
        <f>$C$26*('E Balans VL '!D12+'E Balans VL '!E12)/100/3.6*1000000</f>
        <v>0</v>
      </c>
      <c r="K6" s="33"/>
      <c r="L6" s="33"/>
      <c r="M6" s="33"/>
      <c r="N6" s="33">
        <f>$C$26*'E Balans VL '!Y12/100/3.6*1000000</f>
        <v>0.47817352020126203</v>
      </c>
      <c r="O6" s="33"/>
      <c r="P6" s="33"/>
      <c r="R6" s="32"/>
    </row>
    <row r="7" spans="1:18">
      <c r="A7" s="32" t="s">
        <v>52</v>
      </c>
      <c r="B7" s="37">
        <f t="shared" ref="B7:B12" si="0">B27</f>
        <v>854.47071200000005</v>
      </c>
      <c r="C7" s="33"/>
      <c r="D7" s="37">
        <f>IF(ISERROR(TER_horeca_gas_kWh/1000),0,TER_horeca_gas_kWh/1000)*0.902</f>
        <v>2447.2304759540002</v>
      </c>
      <c r="E7" s="33">
        <f>$C$27*'E Balans VL '!I9/100/3.6*1000000</f>
        <v>9.1749172336383147</v>
      </c>
      <c r="F7" s="33">
        <f>$C$27*('E Balans VL '!L9+'E Balans VL '!N9)/100/3.6*1000000</f>
        <v>102.7721068558789</v>
      </c>
      <c r="G7" s="34"/>
      <c r="H7" s="33"/>
      <c r="I7" s="33"/>
      <c r="J7" s="33">
        <f>$C$27*('E Balans VL '!D9+'E Balans VL '!E9)/100/3.6*1000000</f>
        <v>0</v>
      </c>
      <c r="K7" s="33"/>
      <c r="L7" s="33"/>
      <c r="M7" s="33"/>
      <c r="N7" s="33">
        <f>$C$27*'E Balans VL '!Y9/100/3.6*1000000</f>
        <v>0.12810247783952497</v>
      </c>
      <c r="O7" s="33"/>
      <c r="P7" s="33"/>
      <c r="R7" s="32"/>
    </row>
    <row r="8" spans="1:18">
      <c r="A8" s="6" t="s">
        <v>51</v>
      </c>
      <c r="B8" s="37">
        <f t="shared" si="0"/>
        <v>1237.833343</v>
      </c>
      <c r="C8" s="33"/>
      <c r="D8" s="37">
        <f>IF(ISERROR(TER_handel_gas_kWh/1000),0,TER_handel_gas_kWh/1000)*0.902</f>
        <v>578.34572021600002</v>
      </c>
      <c r="E8" s="33">
        <f>$C$28*'E Balans VL '!I13/100/3.6*1000000</f>
        <v>33.219657336102443</v>
      </c>
      <c r="F8" s="33">
        <f>$C$28*('E Balans VL '!L13+'E Balans VL '!N13)/100/3.6*1000000</f>
        <v>118.1274519295456</v>
      </c>
      <c r="G8" s="34"/>
      <c r="H8" s="33"/>
      <c r="I8" s="33"/>
      <c r="J8" s="33">
        <f>$C$28*('E Balans VL '!D13+'E Balans VL '!E13)/100/3.6*1000000</f>
        <v>0</v>
      </c>
      <c r="K8" s="33"/>
      <c r="L8" s="33"/>
      <c r="M8" s="33"/>
      <c r="N8" s="33">
        <f>$C$28*'E Balans VL '!Y13/100/3.6*1000000</f>
        <v>0.49069121180747077</v>
      </c>
      <c r="O8" s="33"/>
      <c r="P8" s="33"/>
      <c r="R8" s="32"/>
    </row>
    <row r="9" spans="1:18">
      <c r="A9" s="32" t="s">
        <v>50</v>
      </c>
      <c r="B9" s="37">
        <f t="shared" si="0"/>
        <v>191.939674</v>
      </c>
      <c r="C9" s="33"/>
      <c r="D9" s="37">
        <f>IF(ISERROR(TER_gezond_gas_kWh/1000),0,TER_gezond_gas_kWh/1000)*0.902</f>
        <v>839.22845978400005</v>
      </c>
      <c r="E9" s="33">
        <f>$C$29*'E Balans VL '!I10/100/3.6*1000000</f>
        <v>0.35975744734776666</v>
      </c>
      <c r="F9" s="33">
        <f>$C$29*('E Balans VL '!L10+'E Balans VL '!N10)/100/3.6*1000000</f>
        <v>15.779192517380654</v>
      </c>
      <c r="G9" s="34"/>
      <c r="H9" s="33"/>
      <c r="I9" s="33"/>
      <c r="J9" s="33">
        <f>$C$29*('E Balans VL '!D10+'E Balans VL '!E10)/100/3.6*1000000</f>
        <v>0</v>
      </c>
      <c r="K9" s="33"/>
      <c r="L9" s="33"/>
      <c r="M9" s="33"/>
      <c r="N9" s="33">
        <f>$C$29*'E Balans VL '!Y10/100/3.6*1000000</f>
        <v>1.4934338712938637</v>
      </c>
      <c r="O9" s="33"/>
      <c r="P9" s="33"/>
      <c r="R9" s="32"/>
    </row>
    <row r="10" spans="1:18">
      <c r="A10" s="32" t="s">
        <v>49</v>
      </c>
      <c r="B10" s="37">
        <f t="shared" si="0"/>
        <v>91.162284</v>
      </c>
      <c r="C10" s="33"/>
      <c r="D10" s="37">
        <f>IF(ISERROR(TER_ander_gas_kWh/1000),0,TER_ander_gas_kWh/1000)*0.902</f>
        <v>211.896975884</v>
      </c>
      <c r="E10" s="33">
        <f>$C$30*'E Balans VL '!I14/100/3.6*1000000</f>
        <v>0.14052758451915093</v>
      </c>
      <c r="F10" s="33">
        <f>$C$30*('E Balans VL '!L14+'E Balans VL '!N14)/100/3.6*1000000</f>
        <v>14.152969757732137</v>
      </c>
      <c r="G10" s="34"/>
      <c r="H10" s="33"/>
      <c r="I10" s="33"/>
      <c r="J10" s="33">
        <f>$C$30*('E Balans VL '!D14+'E Balans VL '!E14)/100/3.6*1000000</f>
        <v>1.547575912905516E-3</v>
      </c>
      <c r="K10" s="33"/>
      <c r="L10" s="33"/>
      <c r="M10" s="33"/>
      <c r="N10" s="33">
        <f>$C$30*'E Balans VL '!Y14/100/3.6*1000000</f>
        <v>60.310045365129405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3375.1871889999998</v>
      </c>
      <c r="C12" s="33"/>
      <c r="D12" s="37">
        <f>IF(ISERROR(TER_rest_gas_kWh/1000),0,TER_rest_gas_kWh/1000)*0.902</f>
        <v>7365.4341451680002</v>
      </c>
      <c r="E12" s="33">
        <f>$C$32*'E Balans VL '!I8/100/3.6*1000000</f>
        <v>43.568225068702347</v>
      </c>
      <c r="F12" s="33">
        <f>$C$32*('E Balans VL '!L8+'E Balans VL '!N8)/100/3.6*1000000</f>
        <v>387.76276489649047</v>
      </c>
      <c r="G12" s="34"/>
      <c r="H12" s="33"/>
      <c r="I12" s="33"/>
      <c r="J12" s="33">
        <f>$C$32*('E Balans VL '!D8+'E Balans VL '!E8)/100/3.6*1000000</f>
        <v>6.4683676718795295E-3</v>
      </c>
      <c r="K12" s="33"/>
      <c r="L12" s="33"/>
      <c r="M12" s="33"/>
      <c r="N12" s="33">
        <f>$C$32*'E Balans VL '!Y8/100/3.6*1000000</f>
        <v>255.55848453641514</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6640.2998690000004</v>
      </c>
      <c r="C16" s="21">
        <f t="shared" ca="1" si="1"/>
        <v>0</v>
      </c>
      <c r="D16" s="21">
        <f t="shared" ca="1" si="1"/>
        <v>13282.895547658001</v>
      </c>
      <c r="E16" s="21">
        <f t="shared" si="1"/>
        <v>93.622268957227931</v>
      </c>
      <c r="F16" s="21">
        <f t="shared" ca="1" si="1"/>
        <v>747.37048541226682</v>
      </c>
      <c r="G16" s="21">
        <f t="shared" si="1"/>
        <v>0</v>
      </c>
      <c r="H16" s="21">
        <f t="shared" si="1"/>
        <v>0</v>
      </c>
      <c r="I16" s="21">
        <f t="shared" si="1"/>
        <v>0</v>
      </c>
      <c r="J16" s="21">
        <f t="shared" si="1"/>
        <v>8.0159435847850461E-3</v>
      </c>
      <c r="K16" s="21">
        <f t="shared" si="1"/>
        <v>0</v>
      </c>
      <c r="L16" s="21">
        <f t="shared" ca="1" si="1"/>
        <v>0</v>
      </c>
      <c r="M16" s="21">
        <f t="shared" si="1"/>
        <v>0</v>
      </c>
      <c r="N16" s="21">
        <f t="shared" ca="1" si="1"/>
        <v>318.45893098268664</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0.19967706892756126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1325.9156146419891</v>
      </c>
      <c r="C20" s="23">
        <f t="shared" ref="C20:P20" ca="1" si="2">C16*C18</f>
        <v>0</v>
      </c>
      <c r="D20" s="23">
        <f t="shared" ca="1" si="2"/>
        <v>2683.1449006269163</v>
      </c>
      <c r="E20" s="23">
        <f t="shared" si="2"/>
        <v>21.252255053290742</v>
      </c>
      <c r="F20" s="23">
        <f t="shared" ca="1" si="2"/>
        <v>199.54791960507526</v>
      </c>
      <c r="G20" s="23">
        <f t="shared" si="2"/>
        <v>0</v>
      </c>
      <c r="H20" s="23">
        <f t="shared" si="2"/>
        <v>0</v>
      </c>
      <c r="I20" s="23">
        <f t="shared" si="2"/>
        <v>0</v>
      </c>
      <c r="J20" s="23">
        <f t="shared" si="2"/>
        <v>2.8376440290139061E-3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889.70666700000004</v>
      </c>
      <c r="C26" s="39">
        <f>IF(ISERROR(B26*3.6/1000000/'E Balans VL '!Z12*100),0,B26*3.6/1000000/'E Balans VL '!Z12*100)</f>
        <v>1.8874312952277938E-2</v>
      </c>
      <c r="D26" s="235" t="s">
        <v>698</v>
      </c>
      <c r="F26" s="6"/>
    </row>
    <row r="27" spans="1:18">
      <c r="A27" s="229" t="s">
        <v>52</v>
      </c>
      <c r="B27" s="33">
        <f>IF(ISERROR(TER_horeca_ele_kWh/1000),0,TER_horeca_ele_kWh/1000)</f>
        <v>854.47071200000005</v>
      </c>
      <c r="C27" s="39">
        <f>IF(ISERROR(B27*3.6/1000000/'E Balans VL '!Z9*100),0,B27*3.6/1000000/'E Balans VL '!Z9*100)</f>
        <v>6.4349213948005524E-2</v>
      </c>
      <c r="D27" s="235" t="s">
        <v>698</v>
      </c>
      <c r="F27" s="6"/>
    </row>
    <row r="28" spans="1:18">
      <c r="A28" s="169" t="s">
        <v>51</v>
      </c>
      <c r="B28" s="33">
        <f>IF(ISERROR(TER_handel_ele_kWh/1000),0,TER_handel_ele_kWh/1000)</f>
        <v>1237.833343</v>
      </c>
      <c r="C28" s="39">
        <f>IF(ISERROR(B28*3.6/1000000/'E Balans VL '!Z13*100),0,B28*3.6/1000000/'E Balans VL '!Z13*100)</f>
        <v>3.592991596155324E-2</v>
      </c>
      <c r="D28" s="235" t="s">
        <v>698</v>
      </c>
      <c r="F28" s="6"/>
    </row>
    <row r="29" spans="1:18">
      <c r="A29" s="229" t="s">
        <v>50</v>
      </c>
      <c r="B29" s="33">
        <f>IF(ISERROR(TER_gezond_ele_kWh/1000),0,TER_gezond_ele_kWh/1000)</f>
        <v>191.939674</v>
      </c>
      <c r="C29" s="39">
        <f>IF(ISERROR(B29*3.6/1000000/'E Balans VL '!Z10*100),0,B29*3.6/1000000/'E Balans VL '!Z10*100)</f>
        <v>1.9357345020284029E-2</v>
      </c>
      <c r="D29" s="235" t="s">
        <v>698</v>
      </c>
      <c r="F29" s="6"/>
    </row>
    <row r="30" spans="1:18">
      <c r="A30" s="229" t="s">
        <v>49</v>
      </c>
      <c r="B30" s="33">
        <f>IF(ISERROR(TER_ander_ele_kWh/1000),0,TER_ander_ele_kWh/1000)</f>
        <v>91.162284</v>
      </c>
      <c r="C30" s="39">
        <f>IF(ISERROR(B30*3.6/1000000/'E Balans VL '!Z14*100),0,B30*3.6/1000000/'E Balans VL '!Z14*100)</f>
        <v>6.6150673857891034E-3</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3375.1871889999998</v>
      </c>
      <c r="C32" s="39">
        <f>IF(ISERROR(B32*3.6/1000000/'E Balans VL '!Z8*100),0,B32*3.6/1000000/'E Balans VL '!Z8*100)</f>
        <v>2.7648845958844568E-2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1088.5990430000002</v>
      </c>
      <c r="C5" s="17">
        <f>IF(ISERROR('Eigen informatie GS &amp; warmtenet'!B61),0,'Eigen informatie GS &amp; warmtenet'!B61)</f>
        <v>0</v>
      </c>
      <c r="D5" s="30">
        <f>SUM(D6:D15)</f>
        <v>1158.3845323159999</v>
      </c>
      <c r="E5" s="17">
        <f>SUM(E6:E15)</f>
        <v>115.86495468048795</v>
      </c>
      <c r="F5" s="17">
        <f>SUM(F6:F15)</f>
        <v>378.48344383217909</v>
      </c>
      <c r="G5" s="18"/>
      <c r="H5" s="17"/>
      <c r="I5" s="17"/>
      <c r="J5" s="17">
        <f>SUM(J6:J15)</f>
        <v>4.6989671929785075</v>
      </c>
      <c r="K5" s="17"/>
      <c r="L5" s="17"/>
      <c r="M5" s="17"/>
      <c r="N5" s="17">
        <f>SUM(N6:N15)</f>
        <v>54.706940156080421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57.473826000000003</v>
      </c>
      <c r="C8" s="33"/>
      <c r="D8" s="37">
        <f>IF( ISERROR(IND_metaal_Gas_kWH/1000),0,IND_metaal_Gas_kWH/1000)*0.902</f>
        <v>0</v>
      </c>
      <c r="E8" s="33">
        <f>C30*'E Balans VL '!I18/100/3.6*1000000</f>
        <v>0.41463331568885714</v>
      </c>
      <c r="F8" s="33">
        <f>C30*'E Balans VL '!L18/100/3.6*1000000+C30*'E Balans VL '!N18/100/3.6*1000000</f>
        <v>5.4359641964837895</v>
      </c>
      <c r="G8" s="34"/>
      <c r="H8" s="33"/>
      <c r="I8" s="33"/>
      <c r="J8" s="40">
        <f>C30*'E Balans VL '!D18/100/3.6*1000000+C30*'E Balans VL '!E18/100/3.6*1000000</f>
        <v>5.7807508182589423E-2</v>
      </c>
      <c r="K8" s="33"/>
      <c r="L8" s="33"/>
      <c r="M8" s="33"/>
      <c r="N8" s="33">
        <f>C30*'E Balans VL '!Y18/100/3.6*1000000</f>
        <v>0.72662122137117957</v>
      </c>
      <c r="O8" s="33"/>
      <c r="P8" s="33"/>
      <c r="R8" s="32"/>
    </row>
    <row r="9" spans="1:18">
      <c r="A9" s="6" t="s">
        <v>32</v>
      </c>
      <c r="B9" s="37">
        <f t="shared" si="0"/>
        <v>319.84977800000001</v>
      </c>
      <c r="C9" s="33"/>
      <c r="D9" s="37">
        <f>IF( ISERROR(IND_andere_gas_kWh/1000),0,IND_andere_gas_kWh/1000)*0.902</f>
        <v>379.79555625</v>
      </c>
      <c r="E9" s="33">
        <f>C31*'E Balans VL '!I19/100/3.6*1000000</f>
        <v>88.63465041115488</v>
      </c>
      <c r="F9" s="33">
        <f>C31*'E Balans VL '!L19/100/3.6*1000000+C31*'E Balans VL '!N19/100/3.6*1000000</f>
        <v>265.09218720709731</v>
      </c>
      <c r="G9" s="34"/>
      <c r="H9" s="33"/>
      <c r="I9" s="33"/>
      <c r="J9" s="40">
        <f>C31*'E Balans VL '!D19/100/3.6*1000000+C31*'E Balans VL '!E19/100/3.6*1000000</f>
        <v>0</v>
      </c>
      <c r="K9" s="33"/>
      <c r="L9" s="33"/>
      <c r="M9" s="33"/>
      <c r="N9" s="33">
        <f>C31*'E Balans VL '!Y19/100/3.6*1000000</f>
        <v>23.21718169648857</v>
      </c>
      <c r="O9" s="33"/>
      <c r="P9" s="33"/>
      <c r="R9" s="32"/>
    </row>
    <row r="10" spans="1:18">
      <c r="A10" s="6" t="s">
        <v>40</v>
      </c>
      <c r="B10" s="37">
        <f t="shared" si="0"/>
        <v>149.47423599999999</v>
      </c>
      <c r="C10" s="33"/>
      <c r="D10" s="37">
        <f>IF( ISERROR(IND_voed_gas_kWh/1000),0,IND_voed_gas_kWh/1000)*0.902</f>
        <v>0</v>
      </c>
      <c r="E10" s="33">
        <f>C32*'E Balans VL '!I20/100/3.6*1000000</f>
        <v>0.26462002788977834</v>
      </c>
      <c r="F10" s="33">
        <f>C32*'E Balans VL '!L20/100/3.6*1000000+C32*'E Balans VL '!N20/100/3.6*1000000</f>
        <v>8.0729335222702119</v>
      </c>
      <c r="G10" s="34"/>
      <c r="H10" s="33"/>
      <c r="I10" s="33"/>
      <c r="J10" s="40">
        <f>C32*'E Balans VL '!D20/100/3.6*1000000+C32*'E Balans VL '!E20/100/3.6*1000000</f>
        <v>0</v>
      </c>
      <c r="K10" s="33"/>
      <c r="L10" s="33"/>
      <c r="M10" s="33"/>
      <c r="N10" s="33">
        <f>C32*'E Balans VL '!Y20/100/3.6*1000000</f>
        <v>8.6855946605650445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561.80120299999999</v>
      </c>
      <c r="C15" s="33"/>
      <c r="D15" s="37">
        <f>IF( ISERROR(IND_rest_gas_kWh/1000),0,IND_rest_gas_kWh/1000)*0.902</f>
        <v>778.58897606599999</v>
      </c>
      <c r="E15" s="33">
        <f>C37*'E Balans VL '!I15/100/3.6*1000000</f>
        <v>26.551050925754438</v>
      </c>
      <c r="F15" s="33">
        <f>C37*'E Balans VL '!L15/100/3.6*1000000+C37*'E Balans VL '!N15/100/3.6*1000000</f>
        <v>99.882358906327795</v>
      </c>
      <c r="G15" s="34"/>
      <c r="H15" s="33"/>
      <c r="I15" s="33"/>
      <c r="J15" s="40">
        <f>C37*'E Balans VL '!D15/100/3.6*1000000+C37*'E Balans VL '!E15/100/3.6*1000000</f>
        <v>4.6411596847959178</v>
      </c>
      <c r="K15" s="33"/>
      <c r="L15" s="33"/>
      <c r="M15" s="33"/>
      <c r="N15" s="33">
        <f>C37*'E Balans VL '!Y15/100/3.6*1000000</f>
        <v>22.077542577655624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1088.5990430000002</v>
      </c>
      <c r="C18" s="21">
        <f>C5+C16</f>
        <v>0</v>
      </c>
      <c r="D18" s="21">
        <f>MAX((D5+D16),0)</f>
        <v>1158.3845323159999</v>
      </c>
      <c r="E18" s="21">
        <f>MAX((E5+E16),0)</f>
        <v>115.86495468048795</v>
      </c>
      <c r="F18" s="21">
        <f>MAX((F5+F16),0)</f>
        <v>378.48344383217909</v>
      </c>
      <c r="G18" s="21"/>
      <c r="H18" s="21"/>
      <c r="I18" s="21"/>
      <c r="J18" s="21">
        <f>MAX((J5+J16),0)</f>
        <v>4.6989671929785075</v>
      </c>
      <c r="K18" s="21"/>
      <c r="L18" s="21">
        <f>MAX((L5+L16),0)</f>
        <v>0</v>
      </c>
      <c r="M18" s="21"/>
      <c r="N18" s="21">
        <f>MAX((N5+N16),0)</f>
        <v>54.706940156080421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0.19967706892756126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217.36826614358827</v>
      </c>
      <c r="C22" s="23">
        <f ca="1">C18*C20</f>
        <v>0</v>
      </c>
      <c r="D22" s="23">
        <f>D18*D20</f>
        <v>233.99367552783198</v>
      </c>
      <c r="E22" s="23">
        <f>E18*E20</f>
        <v>26.301344712470765</v>
      </c>
      <c r="F22" s="23">
        <f>F18*F20</f>
        <v>101.05507950319182</v>
      </c>
      <c r="G22" s="23"/>
      <c r="H22" s="23"/>
      <c r="I22" s="23"/>
      <c r="J22" s="23">
        <f>J18*J20</f>
        <v>1.6634343863143917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57.473826000000003</v>
      </c>
      <c r="C30" s="39">
        <f>IF(ISERROR(B30*3.6/1000000/'E Balans VL '!Z18*100),0,B30*3.6/1000000/'E Balans VL '!Z18*100)</f>
        <v>3.3178742958296413E-3</v>
      </c>
      <c r="D30" s="235" t="s">
        <v>698</v>
      </c>
    </row>
    <row r="31" spans="1:18">
      <c r="A31" s="6" t="s">
        <v>32</v>
      </c>
      <c r="B31" s="37">
        <f>IF( ISERROR(IND_ander_ele_kWh/1000),0,IND_ander_ele_kWh/1000)</f>
        <v>319.84977800000001</v>
      </c>
      <c r="C31" s="39">
        <f>IF(ISERROR(B31*3.6/1000000/'E Balans VL '!Z19*100),0,B31*3.6/1000000/'E Balans VL '!Z19*100)</f>
        <v>1.6087407080488701E-2</v>
      </c>
      <c r="D31" s="235" t="s">
        <v>698</v>
      </c>
    </row>
    <row r="32" spans="1:18">
      <c r="A32" s="169" t="s">
        <v>40</v>
      </c>
      <c r="B32" s="37">
        <f>IF( ISERROR(IND_voed_ele_kWh/1000),0,IND_voed_ele_kWh/1000)</f>
        <v>149.47423599999999</v>
      </c>
      <c r="C32" s="39">
        <f>IF(ISERROR(B32*3.6/1000000/'E Balans VL '!Z20*100),0,B32*3.6/1000000/'E Balans VL '!Z20*100)</f>
        <v>4.9783796738957385E-3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561.80120299999999</v>
      </c>
      <c r="C37" s="39">
        <f>IF(ISERROR(B37*3.6/1000000/'E Balans VL '!Z15*100),0,B37*3.6/1000000/'E Balans VL '!Z15*100)</f>
        <v>4.3835857024940505E-3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52.532411000000003</v>
      </c>
      <c r="C5" s="17">
        <f>'Eigen informatie GS &amp; warmtenet'!B62</f>
        <v>0</v>
      </c>
      <c r="D5" s="30">
        <f>IF(ISERROR(SUM(LB_lb_gas_kWh,LB_rest_gas_kWh)/1000),0,SUM(LB_lb_gas_kWh,LB_rest_gas_kWh)/1000)*0.902</f>
        <v>311.307500834</v>
      </c>
      <c r="E5" s="17">
        <f>B17*'E Balans VL '!I25/3.6*1000000/100</f>
        <v>1.6395192242579604</v>
      </c>
      <c r="F5" s="17">
        <f>B17*('E Balans VL '!L25/3.6*1000000+'E Balans VL '!N25/3.6*1000000)/100</f>
        <v>185.65535985750688</v>
      </c>
      <c r="G5" s="18"/>
      <c r="H5" s="17"/>
      <c r="I5" s="17"/>
      <c r="J5" s="17">
        <f>('E Balans VL '!D25+'E Balans VL '!E25)/3.6*1000000*landbouw!B17/100</f>
        <v>14.473043539577501</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52.532411000000003</v>
      </c>
      <c r="C8" s="21">
        <f>C5+C6</f>
        <v>0</v>
      </c>
      <c r="D8" s="21">
        <f>MAX((D5+D6),0)</f>
        <v>311.307500834</v>
      </c>
      <c r="E8" s="21">
        <f>MAX((E5+E6),0)</f>
        <v>1.6395192242579604</v>
      </c>
      <c r="F8" s="21">
        <f>MAX((F5+F6),0)</f>
        <v>185.65535985750688</v>
      </c>
      <c r="G8" s="21"/>
      <c r="H8" s="21"/>
      <c r="I8" s="21"/>
      <c r="J8" s="21">
        <f>MAX((J5+J6),0)</f>
        <v>14.473043539577501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0.19967706892756126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10.489517852177977</v>
      </c>
      <c r="C12" s="23">
        <f ca="1">C8*C10</f>
        <v>0</v>
      </c>
      <c r="D12" s="23">
        <f>D8*D10</f>
        <v>62.884115168468</v>
      </c>
      <c r="E12" s="23">
        <f>E8*E10</f>
        <v>0.37217086390655701</v>
      </c>
      <c r="F12" s="23">
        <f>F8*F10</f>
        <v>49.569981081954339</v>
      </c>
      <c r="G12" s="23"/>
      <c r="H12" s="23"/>
      <c r="I12" s="23"/>
      <c r="J12" s="23">
        <f>J8*J10</f>
        <v>5.1234574130104349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7.8093194831432818E-3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7.5659516097926032</v>
      </c>
      <c r="C26" s="245">
        <f>B26*'GWP N2O_CH4'!B5</f>
        <v>158.88498380564468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0.41870698897902164</v>
      </c>
      <c r="C27" s="245">
        <f>B27*'GWP N2O_CH4'!B5</f>
        <v>8.7928467685594551</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0.12901647788302403</v>
      </c>
      <c r="C28" s="245">
        <f>B28*'GWP N2O_CH4'!B4</f>
        <v>39.995108143737447</v>
      </c>
      <c r="D28" s="50"/>
    </row>
    <row r="29" spans="1:4">
      <c r="A29" s="41" t="s">
        <v>271</v>
      </c>
      <c r="B29" s="245">
        <f>B34*'ha_N2O bodem landbouw'!B4</f>
        <v>0.83486731963340977</v>
      </c>
      <c r="C29" s="245">
        <f>B29*'GWP N2O_CH4'!B4</f>
        <v>258.80886908635705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1.830713717474961E-4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3.1069284485845969E-5</v>
      </c>
      <c r="C5" s="433" t="s">
        <v>210</v>
      </c>
      <c r="D5" s="418">
        <f>SUM(D6:D11)</f>
        <v>5.3364233807129025E-5</v>
      </c>
      <c r="E5" s="418">
        <f>SUM(E6:E11)</f>
        <v>4.6572409525910153E-5</v>
      </c>
      <c r="F5" s="431" t="s">
        <v>210</v>
      </c>
      <c r="G5" s="418">
        <f>SUM(G6:G11)</f>
        <v>1.8893972663425414E-2</v>
      </c>
      <c r="H5" s="418">
        <f>SUM(H6:H11)</f>
        <v>4.7535233649551277E-3</v>
      </c>
      <c r="I5" s="433" t="s">
        <v>210</v>
      </c>
      <c r="J5" s="433" t="s">
        <v>210</v>
      </c>
      <c r="K5" s="433" t="s">
        <v>210</v>
      </c>
      <c r="L5" s="433" t="s">
        <v>210</v>
      </c>
      <c r="M5" s="418">
        <f>SUM(M6:M11)</f>
        <v>1.4038152599396008E-3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2.8571485445127992E-5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4.8231445595644441E-5</v>
      </c>
      <c r="E6" s="884">
        <f>vkm_GW_PW*SUMIFS(TableVerdeelsleutelVkm[LPG],TableVerdeelsleutelVkm[Voertuigtype],"Lichte voertuigen")*SUMIFS(TableECFTransport[EnergieConsumptieFactor (PJ per km)],TableECFTransport[Index],CONCATENATE($A6,"_LPG_LPG"))</f>
        <v>4.2263886053473592E-5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1.3202417165931535E-2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4.3022531194011832E-3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1.0458663014567835E-3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1.1650638409113243E-7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4.4467228785285591E-3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6.1810873512552818E-8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2.5631968951756508E-4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2.3812653336517282E-6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5.1327882114845815E-6</v>
      </c>
      <c r="E8" s="421">
        <f>vkm_NGW_PW*SUMIFS(TableVerdeelsleutelVkm[LPG],TableVerdeelsleutelVkm[Voertuigtype],"Lichte voertuigen")*SUMIFS(TableECFTransport[EnergieConsumptieFactor (PJ per km)],TableECFTransport[Index],CONCATENATE($A8,"_LPG_LPG"))</f>
        <v>4.3085234724365633E-6</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1.2434919655395147E-3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4.5120841718359315E-4</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1.0155199058654835E-4</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2.7322975110063852E-11</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1.3406534258020628E-6</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1.7496838781610733E-11</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7.7278378703831539E-8</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8.630356801623881</v>
      </c>
      <c r="C14" s="21"/>
      <c r="D14" s="21">
        <f t="shared" ref="D14:M14" si="0">((D5)*10^9/3600)+D12</f>
        <v>14.823398279758063</v>
      </c>
      <c r="E14" s="21">
        <f t="shared" si="0"/>
        <v>12.936780423863931</v>
      </c>
      <c r="F14" s="21"/>
      <c r="G14" s="21">
        <f t="shared" si="0"/>
        <v>5248.3257398403921</v>
      </c>
      <c r="H14" s="21">
        <f t="shared" si="0"/>
        <v>1320.4231569319797</v>
      </c>
      <c r="I14" s="21"/>
      <c r="J14" s="21"/>
      <c r="K14" s="21"/>
      <c r="L14" s="21"/>
      <c r="M14" s="21">
        <f t="shared" si="0"/>
        <v>389.94868331655573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0.19967706892756126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1.723284349947299</v>
      </c>
      <c r="C18" s="23"/>
      <c r="D18" s="23">
        <f t="shared" ref="D18:M18" si="1">D14*D16</f>
        <v>2.9943264525111291</v>
      </c>
      <c r="E18" s="23">
        <f t="shared" si="1"/>
        <v>2.9366491562171126</v>
      </c>
      <c r="F18" s="23"/>
      <c r="G18" s="23">
        <f t="shared" si="1"/>
        <v>1401.3029725373847</v>
      </c>
      <c r="H18" s="23">
        <f t="shared" si="1"/>
        <v>328.78536607606293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2.3377122788978905E-5</v>
      </c>
      <c r="C50" s="315">
        <f t="shared" ref="C50:P50" si="2">SUM(C51:C52)</f>
        <v>0</v>
      </c>
      <c r="D50" s="315">
        <f t="shared" si="2"/>
        <v>0</v>
      </c>
      <c r="E50" s="315">
        <f t="shared" si="2"/>
        <v>0</v>
      </c>
      <c r="F50" s="315">
        <f t="shared" si="2"/>
        <v>0</v>
      </c>
      <c r="G50" s="315">
        <f t="shared" si="2"/>
        <v>1.6937077549835412E-3</v>
      </c>
      <c r="H50" s="315">
        <f t="shared" si="2"/>
        <v>0</v>
      </c>
      <c r="I50" s="315">
        <f t="shared" si="2"/>
        <v>0</v>
      </c>
      <c r="J50" s="315">
        <f t="shared" si="2"/>
        <v>0</v>
      </c>
      <c r="K50" s="315">
        <f t="shared" si="2"/>
        <v>0</v>
      </c>
      <c r="L50" s="315">
        <f t="shared" si="2"/>
        <v>0</v>
      </c>
      <c r="M50" s="315">
        <f t="shared" si="2"/>
        <v>9.5801154485337242E-5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2.3377122788978905E-5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1.6937077549835412E-3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9.5801154485337242E-5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6.4936452191608067</v>
      </c>
      <c r="C54" s="21">
        <f t="shared" ref="C54:P54" si="3">(C50)*10^9/3600</f>
        <v>0</v>
      </c>
      <c r="D54" s="21">
        <f t="shared" si="3"/>
        <v>0</v>
      </c>
      <c r="E54" s="21">
        <f t="shared" si="3"/>
        <v>0</v>
      </c>
      <c r="F54" s="21">
        <f t="shared" si="3"/>
        <v>0</v>
      </c>
      <c r="G54" s="21">
        <f t="shared" si="3"/>
        <v>470.474376384317</v>
      </c>
      <c r="H54" s="21">
        <f t="shared" si="3"/>
        <v>0</v>
      </c>
      <c r="I54" s="21">
        <f t="shared" si="3"/>
        <v>0</v>
      </c>
      <c r="J54" s="21">
        <f t="shared" si="3"/>
        <v>0</v>
      </c>
      <c r="K54" s="21">
        <f t="shared" si="3"/>
        <v>0</v>
      </c>
      <c r="L54" s="21">
        <f t="shared" si="3"/>
        <v>0</v>
      </c>
      <c r="M54" s="21">
        <f t="shared" si="3"/>
        <v>26.611431801482567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0.19967706892756126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1.296632044017501</v>
      </c>
      <c r="C58" s="23">
        <f t="shared" ref="C58:P58" ca="1" si="4">C54*C56</f>
        <v>0</v>
      </c>
      <c r="D58" s="23">
        <f t="shared" si="4"/>
        <v>0</v>
      </c>
      <c r="E58" s="23">
        <f t="shared" si="4"/>
        <v>0</v>
      </c>
      <c r="F58" s="23">
        <f t="shared" si="4"/>
        <v>0</v>
      </c>
      <c r="G58" s="23">
        <f t="shared" si="4"/>
        <v>125.61665849461265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2206.6948406301185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2206.6948406301185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2021-06-29T14:39:21Z</dcterms:modified>
</cp:coreProperties>
</file>