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G20" i="59"/>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22" i="59"/>
  <c r="C29" i="20"/>
  <c r="C56" i="22"/>
  <c r="C58" i="22" s="1"/>
  <c r="D49" i="14" s="1"/>
  <c r="D52" i="14" s="1"/>
  <c r="C20" i="16"/>
  <c r="C22" i="16" s="1"/>
  <c r="D43" i="14" s="1"/>
  <c r="C17" i="19"/>
  <c r="C19" i="19" s="1"/>
  <c r="D39"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<sst xmlns="http://schemas.openxmlformats.org/spreadsheetml/2006/main" count="2518" uniqueCount="922">
  <si>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</si>
  <si>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</si>
  <si>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</si>
  <si>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</si>
  <si>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</si>
  <si>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</si>
  <si>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</si>
  <si>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</si>
  <si>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</si>
  <si>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</si>
  <si>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</si>
  <si>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</si>
  <si>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</si>
  <si>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</si>
  <si>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</si>
  <si>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</si>
  <si>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</si>
  <si>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</si>
  <si>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</si>
  <si>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</si>
  <si>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</si>
  <si>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</si>
  <si>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</si>
  <si>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</si>
  <si>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</si>
  <si>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</si>
  <si>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</si>
  <si>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</si>
  <si>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</si>
  <si>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</si>
  <si>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</si>
  <si>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</si>
  <si>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</si>
  <si>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</si>
  <si>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</si>
  <si>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</si>
  <si>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</si>
  <si>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</si>
  <si>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</si>
  <si>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</si>
  <si>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</si>
  <si>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</si>
  <si>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</si>
  <si>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</si>
  <si>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</si>
  <si>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</si>
  <si>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</si>
  <si>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</si>
  <si>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</si>
  <si>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</si>
  <si>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</si>
  <si>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</si>
  <si>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</si>
  <si>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</si>
  <si>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</si>
  <si>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</si>
  <si>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</si>
  <si>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</si>
  <si>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</si>
  <si>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</si>
  <si>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</si>
  <si>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</si>
  <si>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</si>
  <si>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</si>
  <si>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</si>
  <si>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</si>
  <si>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</si>
  <si>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</si>
  <si>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</si>
  <si>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</si>
  <si>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</si>
  <si>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</si>
  <si>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</si>
  <si>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</si>
  <si>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</si>
  <si>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</si>
  <si>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</si>
  <si>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</si>
  <si>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</si>
  <si>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</si>
  <si>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</si>
  <si>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</si>
  <si>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</si>
  <si>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</si>
  <si>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</si>
  <si>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</si>
  <si>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</si>
  <si>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</si>
  <si>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</si>
  <si>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</si>
  <si>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</si>
  <si>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</si>
  <si>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</si>
  <si>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</si>
  <si>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</si>
  <si>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</si>
  <si>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</si>
  <si>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</si>
  <si>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</si>
  <si>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</si>
  <si>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</si>
  <si>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</si>
  <si>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</si>
  <si>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</si>
  <si>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</si>
  <si>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</si>
  <si>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</si>
  <si>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</si>
  <si>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</si>
  <si>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</si>
  <si>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</si>
  <si>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</si>
  <si>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</si>
  <si>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</si>
  <si>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</si>
  <si>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</si>
  <si>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</si>
  <si>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</si>
  <si>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</si>
  <si>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</si>
  <si>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</si>
  <si>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</si>
  <si>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</si>
  <si>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</si>
  <si>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</si>
  <si>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</si>
  <si>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</si>
  <si>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</si>
  <si>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</si>
  <si>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</si>
  <si>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</si>
  <si>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</si>
  <si>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</si>
  <si>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</si>
  <si>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</si>
  <si>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</si>
  <si>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</si>
  <si>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</si>
  <si>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</si>
  <si>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</si>
  <si>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</si>
  <si>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</si>
  <si>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</si>
  <si>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</si>
  <si>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</si>
  <si>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</si>
  <si>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</si>
  <si>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</si>
  <si>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</si>
  <si>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</si>
  <si>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</si>
  <si>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</si>
  <si>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</si>
  <si>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</si>
  <si>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</si>
  <si>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</si>
  <si>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</si>
  <si>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</si>
  <si>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</si>
  <si>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</si>
  <si>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</si>
  <si>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</si>
  <si>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</si>
  <si>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</si>
  <si>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</si>
  <si>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</si>
  <si>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</si>
  <si>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</si>
  <si>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</si>
  <si>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</si>
  <si>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</si>
  <si>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</si>
  <si>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</si>
  <si>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</si>
  <si>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</si>
  <si>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</si>
  <si>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</si>
  <si>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</si>
  <si>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</si>
  <si>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</si>
  <si>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</si>
  <si>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</si>
  <si>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</si>
  <si>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</si>
  <si>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</si>
  <si>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</si>
  <si>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</si>
  <si>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</si>
  <si>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</si>
  <si>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</si>
  <si>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</si>
  <si>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</si>
  <si>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</si>
  <si>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</si>
  <si>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</si>
  <si>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</si>
  <si>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</si>
  <si>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</si>
  <si>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</si>
  <si>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</si>
  <si>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</si>
  <si>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</si>
  <si>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</si>
  <si>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</si>
  <si>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</si>
  <si>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</si>
  <si>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</si>
  <si>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</si>
  <si>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</si>
  <si>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</si>
  <si>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</si>
  <si>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</si>
  <si>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</si>
  <si>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</si>
  <si>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</si>
  <si>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</si>
  <si>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</si>
  <si>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</si>
  <si>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</si>
  <si>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</si>
  <si>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</si>
  <si>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</si>
  <si>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</si>
  <si>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</si>
  <si>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</si>
  <si>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</si>
  <si>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</si>
  <si>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</si>
  <si>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</si>
  <si>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</si>
  <si>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</si>
  <si>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</si>
  <si>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</si>
  <si>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</si>
  <si>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</si>
  <si>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</si>
  <si>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</si>
  <si>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</si>
  <si>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</si>
  <si>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</si>
  <si>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</si>
  <si>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</si>
  <si>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</si>
  <si>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</si>
  <si>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</si>
  <si>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</si>
  <si>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</si>
  <si>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</si>
  <si>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</si>
  <si>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</si>
  <si>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</si>
  <si>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</si>
  <si>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</si>
  <si>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</si>
  <si>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</si>
  <si>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</si>
  <si>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</si>
  <si>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</si>
  <si>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</si>
  <si>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</si>
  <si>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</si>
  <si>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</si>
  <si>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</si>
  <si>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</si>
  <si>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</si>
  <si>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</si>
  <si>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</si>
  <si>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</si>
  <si>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</si>
  <si>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</si>
  <si>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</si>
  <si>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</si>
  <si>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</si>
  <si>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</si>
  <si>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</si>
  <si>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</si>
  <si>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</si>
  <si>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</si>
  <si>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</si>
  <si>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</si>
  <si>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</si>
  <si>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</si>
  <si>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</si>
  <si>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</si>
  <si>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</si>
  <si>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</si>
  <si>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</si>
  <si>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</si>
  <si>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</si>
  <si>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</si>
  <si>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</si>
  <si>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</si>
  <si>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</si>
  <si>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</si>
  <si>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</si>
  <si>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</si>
  <si>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</si>
  <si>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</si>
  <si>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</si>
  <si>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</si>
  <si>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</si>
  <si>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</si>
  <si>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</si>
  <si>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</si>
  <si>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</si>
  <si>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</si>
  <si>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</si>
  <si>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</si>
  <si>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</si>
  <si>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</si>
  <si>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</si>
  <si>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</si>
  <si>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</si>
  <si>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</si>
  <si>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</si>
  <si>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</si>
  <si>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</si>
  <si>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</si>
  <si>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</si>
  <si>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</si>
  <si>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</si>
  <si>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</si>
  <si>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</si>
  <si>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</si>
  <si>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</si>
  <si>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</si>
  <si>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</si>
  <si>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</si>
  <si>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</si>
  <si>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</si>
  <si>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</si>
  <si>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</si>
  <si>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</si>
  <si>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</si>
  <si>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</si>
  <si>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</si>
  <si>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</si>
  <si>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</si>
  <si>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</si>
  <si>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</si>
  <si>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</si>
  <si>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</si>
  <si>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</si>
  <si>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</si>
  <si>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</si>
  <si>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</si>
  <si>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</si>
  <si>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</si>
  <si>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</si>
  <si>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</si>
  <si>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</si>
  <si>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</si>
  <si>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</si>
  <si>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</si>
  <si>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</si>
  <si>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</si>
  <si>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</si>
  <si>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</si>
  <si>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</si>
  <si>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</si>
  <si>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</si>
  <si>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</si>
  <si>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</si>
  <si>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</si>
  <si>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</si>
  <si>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</si>
  <si>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</si>
  <si>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</si>
  <si>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</si>
  <si>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</si>
  <si>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</si>
  <si>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</si>
  <si>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</si>
  <si>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</si>
  <si>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</si>
  <si>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</si>
  <si>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</si>
  <si>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</si>
  <si>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</si>
  <si>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</si>
  <si>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</si>
  <si>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</si>
  <si>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</si>
  <si>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</si>
  <si>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</si>
  <si>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</si>
  <si>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</si>
  <si>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</si>
  <si>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</si>
  <si>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</si>
  <si>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</si>
  <si>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</si>
  <si>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</si>
  <si>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</si>
  <si>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</si>
  <si>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</si>
  <si>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</si>
  <si>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</si>
  <si>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</si>
  <si>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</si>
  <si>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</si>
  <si>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</si>
  <si>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</si>
  <si>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</si>
  <si>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</si>
  <si>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</si>
  <si>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</si>
  <si>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</si>
  <si>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</si>
  <si>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</si>
  <si>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</si>
  <si>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</si>
  <si>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</si>
  <si>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</si>
  <si>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</si>
  <si>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</si>
  <si>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</si>
  <si>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</si>
  <si>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</si>
  <si>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</si>
  <si>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</si>
  <si>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</si>
  <si>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</si>
  <si>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</si>
  <si>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</si>
  <si>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</si>
  <si>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</si>
  <si>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</si>
  <si>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</si>
  <si>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</si>
  <si>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</si>
  <si>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</si>
  <si>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</si>
  <si>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</si>
  <si>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</si>
  <si>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</si>
  <si>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</si>
  <si>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</si>
  <si>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</si>
  <si>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</si>
  <si>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</si>
  <si>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</si>
  <si>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</si>
  <si>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</si>
  <si>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</si>
  <si>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</si>
  <si>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</si>
  <si>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</si>
  <si>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</si>
  <si>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</si>
  <si>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</si>
  <si>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</si>
  <si>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</si>
  <si>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</si>
  <si>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</si>
  <si>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</si>
  <si>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</si>
  <si>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</si>
  <si>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</si>
  <si>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</si>
  <si>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</si>
  <si>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</si>
  <si>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</si>
  <si>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</si>
  <si>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</si>
  <si>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</si>
  <si>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</si>
  <si>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</si>
  <si>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</si>
  <si>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</si>
  <si>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</si>
  <si>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</si>
  <si>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</si>
  <si>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</si>
  <si>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</si>
  <si>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</si>
  <si>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</si>
  <si>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</si>
  <si>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</si>
  <si>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</si>
  <si>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</si>
  <si>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</si>
  <si>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</si>
  <si>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</si>
  <si>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</si>
  <si>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</si>
  <si>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</si>
  <si>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</si>
  <si>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</si>
  <si>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</si>
  <si>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</si>
  <si>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</si>
  <si>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</si>
  <si>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</si>
  <si>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</si>
  <si>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</si>
  <si>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</si>
  <si>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</si>
  <si>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</si>
  <si>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</si>
  <si>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</si>
  <si>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</si>
  <si>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</si>
  <si>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</si>
  <si>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</si>
  <si>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</si>
  <si>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</si>
  <si>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</si>
  <si>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</si>
  <si>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</si>
  <si>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</si>
  <si>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</si>
  <si>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</si>
  <si>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</si>
  <si>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</si>
  <si>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</si>
  <si>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</si>
  <si>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</si>
  <si>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</si>
  <si>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</si>
  <si>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</si>
  <si>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</si>
  <si>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</si>
  <si>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</si>
  <si>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</si>
  <si>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</si>
  <si>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</si>
  <si>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</si>
  <si>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</si>
  <si>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</si>
  <si>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</si>
  <si>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</si>
  <si>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</si>
  <si>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</si>
  <si>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</si>
  <si>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</si>
  <si>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</si>
  <si>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</si>
  <si>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</si>
  <si>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</si>
  <si>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</si>
  <si>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</si>
  <si>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</si>
  <si>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</si>
  <si>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</si>
  <si>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</si>
  <si>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</si>
  <si>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</si>
  <si>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</si>
  <si>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</si>
  <si>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</si>
  <si>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</si>
  <si>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</si>
  <si>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</si>
  <si>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</si>
  <si>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</si>
  <si>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</si>
  <si>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</si>
  <si>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</si>
  <si>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</si>
  <si>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</si>
  <si>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</si>
  <si>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</si>
  <si>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</si>
  <si>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</si>
  <si>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</si>
  <si>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</si>
  <si>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</si>
  <si>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</si>
  <si>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</si>
  <si>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</si>
  <si>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</si>
  <si>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</si>
  <si>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</si>
  <si>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</si>
  <si>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</si>
  <si>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</si>
  <si>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</si>
  <si>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</si>
  <si>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</si>
  <si>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</si>
  <si>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</si>
  <si>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</si>
  <si>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</si>
  <si>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</si>
  <si>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</si>
  <si>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</si>
  <si>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</si>
  <si>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</si>
  <si>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</si>
  <si>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</si>
  <si>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</si>
  <si>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</si>
  <si>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</si>
  <si>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</si>
  <si>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</si>
  <si>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</si>
  <si>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</si>
  <si>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</si>
  <si>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</si>
  <si>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</si>
  <si>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</si>
  <si>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</si>
  <si>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</si>
  <si>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</si>
  <si>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</si>
  <si>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</si>
  <si>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</si>
  <si>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</si>
  <si>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</si>
  <si>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</si>
  <si>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</si>
  <si>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</si>
  <si>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</si>
  <si>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</si>
  <si>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</si>
  <si>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</si>
  <si>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</si>
  <si>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</si>
  <si>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</si>
  <si>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</si>
  <si>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</si>
  <si>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</si>
  <si>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</si>
  <si>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</si>
  <si>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</si>
  <si>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</si>
  <si>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</si>
  <si>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</si>
  <si>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</si>
  <si>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</si>
  <si>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</si>
  <si>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</si>
  <si>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</si>
  <si>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</si>
  <si>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</si>
  <si>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</si>
  <si>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</si>
  <si>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</si>
  <si>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</si>
  <si>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</si>
  <si>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</si>
  <si>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</si>
  <si>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</si>
  <si>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</si>
  <si>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</si>
  <si>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</si>
  <si>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</si>
  <si>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</si>
  <si>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</si>
  <si>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</si>
  <si>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</si>
  <si>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</si>
  <si>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</si>
  <si>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</si>
  <si>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</si>
  <si>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</si>
  <si>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</si>
  <si>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</si>
  <si>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</si>
  <si>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</si>
  <si>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</si>
  <si>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</si>
  <si>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</si>
  <si>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</si>
  <si>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</si>
  <si>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</si>
  <si>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</si>
  <si>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</si>
  <si>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</si>
  <si>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</si>
  <si>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</si>
  <si>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</si>
  <si>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</si>
  <si>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</si>
  <si>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</si>
  <si>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</si>
  <si>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</si>
  <si>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</si>
  <si>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</si>
  <si>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</si>
  <si>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</si>
  <si>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</si>
  <si>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</si>
  <si>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</si>
  <si>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</si>
  <si>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</si>
  <si>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</si>
  <si>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</si>
  <si>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</si>
  <si>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</si>
  <si>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</si>
  <si>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</si>
  <si>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</si>
  <si>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</si>
  <si>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</si>
  <si>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</si>
  <si>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</si>
  <si>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</si>
  <si>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</si>
  <si>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</si>
  <si>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</si>
  <si>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</si>
  <si>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</si>
  <si>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</si>
  <si>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</si>
  <si>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</si>
  <si>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</si>
  <si>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</si>
  <si>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</si>
  <si>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</si>
  <si>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</si>
  <si>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</si>
  <si>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</si>
  <si>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</si>
  <si>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</si>
  <si>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</si>
  <si>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</si>
  <si>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</si>
  <si>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</si>
  <si>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</si>
  <si>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</si>
  <si>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</si>
  <si>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</si>
  <si>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</si>
  <si>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</si>
  <si>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</si>
  <si>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</si>
  <si>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</si>
  <si>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</si>
  <si>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</si>
  <si>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</si>
  <si>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</si>
  <si>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</si>
  <si>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</si>
  <si>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</si>
  <si>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</si>
  <si>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</si>
  <si>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</si>
  <si>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</si>
  <si>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</si>
  <si>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</si>
  <si>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</si>
  <si>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</si>
  <si>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</si>
  <si>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</si>
  <si>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</si>
  <si>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</si>
  <si>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</si>
  <si>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</si>
  <si>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</si>
  <si>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</si>
  <si>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</si>
  <si>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</si>
  <si>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</si>
  <si>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</si>
  <si>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</si>
  <si>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</si>
  <si>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</si>
  <si>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</si>
  <si>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</si>
  <si>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</si>
  <si>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</si>
  <si>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</si>
  <si>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</si>
  <si>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</si>
  <si>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</si>
  <si>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</si>
  <si>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</si>
  <si>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</si>
  <si>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</si>
  <si>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</si>
  <si>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</si>
  <si>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</si>
  <si>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</si>
  <si>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</si>
  <si>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</si>
  <si>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</si>
  <si>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</si>
  <si>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</si>
  <si>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</si>
  <si>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</si>
  <si>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</si>
  <si>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</si>
  <si>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</si>
  <si>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</si>
  <si>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</si>
  <si>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</si>
  <si>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</si>
  <si>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</si>
  <si>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</si>
  <si>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</si>
  <si>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</si>
  <si>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</si>
  <si>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</si>
  <si>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</si>
  <si>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</si>
  <si>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</si>
  <si>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</si>
  <si>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</si>
  <si>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</si>
  <si>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</si>
  <si>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</si>
  <si>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</si>
  <si>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</si>
  <si>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</si>
  <si>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</si>
  <si>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</si>
  <si>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</si>
  <si>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</si>
  <si>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</si>
  <si>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</si>
  <si>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</si>
  <si>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</si>
  <si>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</si>
  <si>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</si>
  <si>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</si>
  <si>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</si>
  <si>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</si>
  <si>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</si>
  <si>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</si>
  <si>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</si>
  <si>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</si>
  <si>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</si>
  <si>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</si>
  <si>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</si>
  <si>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</si>
  <si>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</si>
  <si>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</si>
  <si>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</si>
  <si>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</si>
  <si>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</si>
  <si>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</si>
  <si>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</si>
  <si>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</si>
  <si>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</si>
  <si>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</si>
  <si>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</si>
  <si>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</si>
  <si>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</si>
  <si>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</si>
  <si>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</si>
  <si>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</si>
  <si>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</si>
  <si>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</si>
  <si>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</si>
  <si>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</si>
  <si>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</si>
  <si>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</si>
  <si>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</si>
  <si>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</si>
  <si>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</si>
  <si>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</si>
  <si>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</si>
  <si>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</si>
  <si>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</si>
  <si>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</si>
  <si>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</si>
  <si>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</si>
  <si>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</si>
  <si>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</si>
  <si>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</si>
  <si>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</si>
  <si>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</si>
  <si>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</si>
  <si>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</si>
  <si>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</si>
  <si>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</si>
  <si>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</si>
  <si>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</si>
  <si>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</si>
  <si>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</si>
  <si>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</si>
  <si>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</si>
  <si>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</si>
  <si>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</si>
  <si>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</si>
  <si>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</si>
  <si>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</si>
  <si>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</si>
  <si>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</si>
  <si>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</si>
  <si>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</si>
  <si>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</si>
  <si>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</si>
  <si>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</si>
  <si>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</si>
  <si>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</si>
  <si>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</si>
  <si>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</si>
  <si>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</si>
  <si>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</si>
  <si>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</si>
  <si>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</si>
  <si>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</si>
  <si>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</si>
  <si>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</si>
  <si>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</si>
  <si>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</si>
  <si>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</si>
  <si>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</si>
  <si>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</si>
  <si>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</si>
  <si>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11024</t>
  </si>
  <si>
    <t>KONTICH</t>
  </si>
  <si>
    <t>referentietaak LNE (2017); Jaarverslag De Lijn</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</si>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</sst>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175207.21571407668</c:v>
                </c:pt>
                <c:pt idx="1">
                  <c:v>101725.05223899939</c:v>
                </c:pt>
                <c:pt idx="2">
                  <c:v>1381.424</c:v>
                </c:pt>
                <c:pt idx="3">
                  <c:v>54780.829041702324</c:v>
                </c:pt>
                <c:pt idx="4">
                  <c:v>29531.230994056685</c:v>
                </c:pt>
                <c:pt idx="5">
                  <c:v>411910.79172584892</c:v>
                </c:pt>
                <c:pt idx="6">
                  <c:v>1949.8700369740345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175207.21571407668</c:v>
                </c:pt>
                <c:pt idx="1">
                  <c:v>101725.05223899939</c:v>
                </c:pt>
                <c:pt idx="2">
                  <c:v>1381.424</c:v>
                </c:pt>
                <c:pt idx="3">
                  <c:v>54780.829041702324</c:v>
                </c:pt>
                <c:pt idx="4">
                  <c:v>29531.230994056685</c:v>
                </c:pt>
                <c:pt idx="5">
                  <c:v>411910.79172584892</c:v>
                </c:pt>
                <c:pt idx="6">
                  <c:v>1949.8700369740345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34915.598470390847</c:v>
                </c:pt>
                <c:pt idx="1">
                  <c:v>21623.406731874387</c:v>
                </c:pt>
                <c:pt idx="2">
                  <c:v>288.80125071214326</c:v>
                </c:pt>
                <c:pt idx="3">
                  <c:v>13271.527284923015</c:v>
                </c:pt>
                <c:pt idx="4">
                  <c:v>6253.3603133499328</c:v>
                </c:pt>
                <c:pt idx="5">
                  <c:v>102748.35490471189</c:v>
                </c:pt>
                <c:pt idx="6">
                  <c:v>491.64681396311744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34915.598470390847</c:v>
                </c:pt>
                <c:pt idx="1">
                  <c:v>21623.406731874387</c:v>
                </c:pt>
                <c:pt idx="2">
                  <c:v>288.80125071214326</c:v>
                </c:pt>
                <c:pt idx="3">
                  <c:v>13271.527284923015</c:v>
                </c:pt>
                <c:pt idx="4">
                  <c:v>6253.3603133499328</c:v>
                </c:pt>
                <c:pt idx="5">
                  <c:v>102748.35490471189</c:v>
                </c:pt>
                <c:pt idx="6">
                  <c:v>491.64681396311744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11024</v>
      </c>
      <c r="B6" s="386"/>
      <c r="C6" s="387"/>
    </row>
    <row r="7" spans="1:7" s="384" customFormat="1" ht="15.75" customHeight="1">
      <c r="A7" s="388" t="str">
        <f>txtMunicipality</f>
        <v>KONTICH</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55854.423992000004</v>
      </c>
      <c r="D10" s="681">
        <f ca="1">tertiair!C16</f>
        <v>18392.142857142859</v>
      </c>
      <c r="E10" s="681">
        <f ca="1">tertiair!D16</f>
        <v>22219.968441044279</v>
      </c>
      <c r="F10" s="681">
        <f>tertiair!E16</f>
        <v>695.97698141922581</v>
      </c>
      <c r="G10" s="681">
        <f ca="1">tertiair!F16</f>
        <v>4561.9145475832838</v>
      </c>
      <c r="H10" s="681">
        <f>tertiair!G16</f>
        <v>0</v>
      </c>
      <c r="I10" s="681">
        <f>tertiair!H16</f>
        <v>0</v>
      </c>
      <c r="J10" s="681">
        <f>tertiair!I16</f>
        <v>0</v>
      </c>
      <c r="K10" s="681">
        <f>tertiair!J16</f>
        <v>2.6632090628040599E-2</v>
      </c>
      <c r="L10" s="681">
        <f>tertiair!K16</f>
        <v>0</v>
      </c>
      <c r="M10" s="681">
        <f ca="1">tertiair!L16</f>
        <v>0</v>
      </c>
      <c r="N10" s="681">
        <f>tertiair!M16</f>
        <v>0</v>
      </c>
      <c r="O10" s="681">
        <f ca="1">tertiair!N16</f>
        <v>1066.7879578801442</v>
      </c>
      <c r="P10" s="681">
        <f>tertiair!O16</f>
        <v>0</v>
      </c>
      <c r="Q10" s="682">
        <f>tertiair!P16</f>
        <v>315.23482983897009</v>
      </c>
      <c r="R10" s="684">
        <f ca="1">SUM(C10:Q10)</f>
        <v>103106.47623899938</v>
      </c>
      <c r="S10" s="67"/>
    </row>
    <row r="11" spans="1:19" s="444" customFormat="1">
      <c r="A11" s="802" t="s">
        <v>219</v>
      </c>
      <c r="B11" s="807"/>
      <c r="C11" s="681">
        <f>huishoudens!B8</f>
        <v>35034.525890630081</v>
      </c>
      <c r="D11" s="681">
        <f>huishoudens!C8</f>
        <v>0</v>
      </c>
      <c r="E11" s="681">
        <f>huishoudens!D8</f>
        <v>100406.7652786</v>
      </c>
      <c r="F11" s="681">
        <f>huishoudens!E8</f>
        <v>1604.914829362277</v>
      </c>
      <c r="G11" s="681">
        <f>huishoudens!F8</f>
        <v>25873.366089971139</v>
      </c>
      <c r="H11" s="681">
        <f>huishoudens!G8</f>
        <v>0</v>
      </c>
      <c r="I11" s="681">
        <f>huishoudens!H8</f>
        <v>0</v>
      </c>
      <c r="J11" s="681">
        <f>huishoudens!I8</f>
        <v>0</v>
      </c>
      <c r="K11" s="681">
        <f>huishoudens!J8</f>
        <v>103.3629568204064</v>
      </c>
      <c r="L11" s="681">
        <f>huishoudens!K8</f>
        <v>0</v>
      </c>
      <c r="M11" s="681">
        <f>huishoudens!L8</f>
        <v>0</v>
      </c>
      <c r="N11" s="681">
        <f>huishoudens!M8</f>
        <v>0</v>
      </c>
      <c r="O11" s="681">
        <f>huishoudens!N8</f>
        <v>11152.994793511287</v>
      </c>
      <c r="P11" s="681">
        <f>huishoudens!O8</f>
        <v>357.1124794896657</v>
      </c>
      <c r="Q11" s="682">
        <f>huishoudens!P8</f>
        <v>674.17339569184151</v>
      </c>
      <c r="R11" s="684">
        <f>SUM(C11:Q11)</f>
        <v>175207.21571407668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12096.850570999999</v>
      </c>
      <c r="D13" s="681">
        <f>industrie!C18</f>
        <v>0</v>
      </c>
      <c r="E13" s="681">
        <f>industrie!D18</f>
        <v>11602.109142734002</v>
      </c>
      <c r="F13" s="681">
        <f>industrie!E18</f>
        <v>1197.0861073034594</v>
      </c>
      <c r="G13" s="681">
        <f>industrie!F18</f>
        <v>3911.365847840575</v>
      </c>
      <c r="H13" s="681">
        <f>industrie!G18</f>
        <v>0</v>
      </c>
      <c r="I13" s="681">
        <f>industrie!H18</f>
        <v>0</v>
      </c>
      <c r="J13" s="681">
        <f>industrie!I18</f>
        <v>0</v>
      </c>
      <c r="K13" s="681">
        <f>industrie!J18</f>
        <v>182.73134799003009</v>
      </c>
      <c r="L13" s="681">
        <f>industrie!K18</f>
        <v>0</v>
      </c>
      <c r="M13" s="681">
        <f>industrie!L18</f>
        <v>0</v>
      </c>
      <c r="N13" s="681">
        <f>industrie!M18</f>
        <v>0</v>
      </c>
      <c r="O13" s="681">
        <f>industrie!N18</f>
        <v>541.08797718861842</v>
      </c>
      <c r="P13" s="681">
        <f>industrie!O18</f>
        <v>0</v>
      </c>
      <c r="Q13" s="682">
        <f>industrie!P18</f>
        <v>0</v>
      </c>
      <c r="R13" s="684">
        <f>SUM(C13:Q13)</f>
        <v>29531.230994056685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102985.80045363009</v>
      </c>
      <c r="D16" s="717">
        <f t="shared" ref="D16:R16" ca="1" si="0">SUM(D9:D15)</f>
        <v>18392.142857142859</v>
      </c>
      <c r="E16" s="717">
        <f t="shared" ca="1" si="0"/>
        <v>134228.84286237828</v>
      </c>
      <c r="F16" s="717">
        <f t="shared" si="0"/>
        <v>3497.9779180849623</v>
      </c>
      <c r="G16" s="717">
        <f t="shared" ca="1" si="0"/>
        <v>34346.646485395002</v>
      </c>
      <c r="H16" s="717">
        <f t="shared" si="0"/>
        <v>0</v>
      </c>
      <c r="I16" s="717">
        <f t="shared" si="0"/>
        <v>0</v>
      </c>
      <c r="J16" s="717">
        <f t="shared" si="0"/>
        <v>0</v>
      </c>
      <c r="K16" s="717">
        <f t="shared" si="0"/>
        <v>286.12093690106451</v>
      </c>
      <c r="L16" s="717">
        <f t="shared" si="0"/>
        <v>0</v>
      </c>
      <c r="M16" s="717">
        <f t="shared" ca="1" si="0"/>
        <v>0</v>
      </c>
      <c r="N16" s="717">
        <f t="shared" si="0"/>
        <v>0</v>
      </c>
      <c r="O16" s="717">
        <f t="shared" ca="1" si="0"/>
        <v>12760.870728580048</v>
      </c>
      <c r="P16" s="717">
        <f t="shared" si="0"/>
        <v>357.1124794896657</v>
      </c>
      <c r="Q16" s="717">
        <f t="shared" si="0"/>
        <v>989.40822553081159</v>
      </c>
      <c r="R16" s="717">
        <f t="shared" ca="1" si="0"/>
        <v>307844.92294713273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25.143528311110842</v>
      </c>
      <c r="D19" s="681">
        <f>transport!C54</f>
        <v>0</v>
      </c>
      <c r="E19" s="681">
        <f>transport!D54</f>
        <v>0</v>
      </c>
      <c r="F19" s="681">
        <f>transport!E54</f>
        <v>0</v>
      </c>
      <c r="G19" s="681">
        <f>transport!F54</f>
        <v>0</v>
      </c>
      <c r="H19" s="681">
        <f>transport!G54</f>
        <v>1821.6864954935188</v>
      </c>
      <c r="I19" s="681">
        <f>transport!H54</f>
        <v>0</v>
      </c>
      <c r="J19" s="681">
        <f>transport!I54</f>
        <v>0</v>
      </c>
      <c r="K19" s="681">
        <f>transport!J54</f>
        <v>0</v>
      </c>
      <c r="L19" s="681">
        <f>transport!K54</f>
        <v>0</v>
      </c>
      <c r="M19" s="681">
        <f>transport!L54</f>
        <v>0</v>
      </c>
      <c r="N19" s="681">
        <f>transport!M54</f>
        <v>103.04001316940482</v>
      </c>
      <c r="O19" s="681">
        <f>transport!N54</f>
        <v>0</v>
      </c>
      <c r="P19" s="681">
        <f>transport!O54</f>
        <v>0</v>
      </c>
      <c r="Q19" s="682">
        <f>transport!P54</f>
        <v>0</v>
      </c>
      <c r="R19" s="684">
        <f>SUM(C19:Q19)</f>
        <v>1949.8700369740345</v>
      </c>
      <c r="S19" s="67"/>
    </row>
    <row r="20" spans="1:19" s="444" customFormat="1">
      <c r="A20" s="802" t="s">
        <v>301</v>
      </c>
      <c r="B20" s="807"/>
      <c r="C20" s="681">
        <f>transport!B14</f>
        <v>416.19279543029467</v>
      </c>
      <c r="D20" s="681">
        <f>transport!C14</f>
        <v>0</v>
      </c>
      <c r="E20" s="681">
        <f>transport!D14</f>
        <v>637.90146242502465</v>
      </c>
      <c r="F20" s="681">
        <f>transport!E14</f>
        <v>618.21972891124949</v>
      </c>
      <c r="G20" s="681">
        <f>transport!F14</f>
        <v>0</v>
      </c>
      <c r="H20" s="681">
        <f>transport!G14</f>
        <v>329288.07317408582</v>
      </c>
      <c r="I20" s="681">
        <f>transport!H14</f>
        <v>58121.437356651841</v>
      </c>
      <c r="J20" s="681">
        <f>transport!I14</f>
        <v>0</v>
      </c>
      <c r="K20" s="681">
        <f>transport!J14</f>
        <v>0</v>
      </c>
      <c r="L20" s="681">
        <f>transport!K14</f>
        <v>0</v>
      </c>
      <c r="M20" s="681">
        <f>transport!L14</f>
        <v>0</v>
      </c>
      <c r="N20" s="681">
        <f>transport!M14</f>
        <v>22828.967208344711</v>
      </c>
      <c r="O20" s="681">
        <f>transport!N14</f>
        <v>0</v>
      </c>
      <c r="P20" s="681">
        <f>transport!O14</f>
        <v>0</v>
      </c>
      <c r="Q20" s="682">
        <f>transport!P14</f>
        <v>0</v>
      </c>
      <c r="R20" s="684">
        <f>SUM(C20:Q20)</f>
        <v>411910.79172584892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441.33632374140552</v>
      </c>
      <c r="D22" s="805">
        <f t="shared" ref="D22:R22" si="1">SUM(D18:D21)</f>
        <v>0</v>
      </c>
      <c r="E22" s="805">
        <f t="shared" si="1"/>
        <v>637.90146242502465</v>
      </c>
      <c r="F22" s="805">
        <f t="shared" si="1"/>
        <v>618.21972891124949</v>
      </c>
      <c r="G22" s="805">
        <f t="shared" si="1"/>
        <v>0</v>
      </c>
      <c r="H22" s="805">
        <f t="shared" si="1"/>
        <v>331109.75966957933</v>
      </c>
      <c r="I22" s="805">
        <f t="shared" si="1"/>
        <v>58121.437356651841</v>
      </c>
      <c r="J22" s="805">
        <f t="shared" si="1"/>
        <v>0</v>
      </c>
      <c r="K22" s="805">
        <f t="shared" si="1"/>
        <v>0</v>
      </c>
      <c r="L22" s="805">
        <f t="shared" si="1"/>
        <v>0</v>
      </c>
      <c r="M22" s="805">
        <f t="shared" si="1"/>
        <v>0</v>
      </c>
      <c r="N22" s="805">
        <f t="shared" si="1"/>
        <v>22932.007221514115</v>
      </c>
      <c r="O22" s="805">
        <f t="shared" si="1"/>
        <v>0</v>
      </c>
      <c r="P22" s="805">
        <f t="shared" si="1"/>
        <v>0</v>
      </c>
      <c r="Q22" s="805">
        <f t="shared" si="1"/>
        <v>0</v>
      </c>
      <c r="R22" s="805">
        <f t="shared" si="1"/>
        <v>413860.66176282294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2368.5612639999999</v>
      </c>
      <c r="D24" s="681">
        <f>+landbouw!C8</f>
        <v>43315.032818532818</v>
      </c>
      <c r="E24" s="681">
        <f>+landbouw!D8</f>
        <v>0</v>
      </c>
      <c r="F24" s="681">
        <f>+landbouw!E8</f>
        <v>73.922015994292266</v>
      </c>
      <c r="G24" s="681">
        <f>+landbouw!F8</f>
        <v>8370.7578891148078</v>
      </c>
      <c r="H24" s="681">
        <f>+landbouw!G8</f>
        <v>0</v>
      </c>
      <c r="I24" s="681">
        <f>+landbouw!H8</f>
        <v>0</v>
      </c>
      <c r="J24" s="681">
        <f>+landbouw!I8</f>
        <v>0</v>
      </c>
      <c r="K24" s="681">
        <f>+landbouw!J8</f>
        <v>652.55505406041095</v>
      </c>
      <c r="L24" s="681">
        <f>+landbouw!K8</f>
        <v>0</v>
      </c>
      <c r="M24" s="681">
        <f>+landbouw!L8</f>
        <v>0</v>
      </c>
      <c r="N24" s="681">
        <f>+landbouw!M8</f>
        <v>0</v>
      </c>
      <c r="O24" s="681">
        <f>+landbouw!N8</f>
        <v>0</v>
      </c>
      <c r="P24" s="681">
        <f>+landbouw!O8</f>
        <v>0</v>
      </c>
      <c r="Q24" s="682">
        <f>+landbouw!P8</f>
        <v>0</v>
      </c>
      <c r="R24" s="684">
        <f>SUM(C24:Q24)</f>
        <v>54780.829041702324</v>
      </c>
      <c r="S24" s="67"/>
    </row>
    <row r="25" spans="1:19" s="444" customFormat="1" ht="15" thickBot="1">
      <c r="A25" s="824" t="s">
        <v>714</v>
      </c>
      <c r="B25" s="943"/>
      <c r="C25" s="944">
        <f>IF(Onbekend_ele_kWh="---",0,Onbekend_ele_kWh)/1000+IF(REST_rest_ele_kWh="---",0,REST_rest_ele_kWh)/1000</f>
        <v>1471.8216219999999</v>
      </c>
      <c r="D25" s="944"/>
      <c r="E25" s="944">
        <f>IF(onbekend_gas_kWh="---",0,onbekend_gas_kWh)/1000+IF(REST_rest_gas_kWh="---",0,REST_rest_gas_kWh)/1000</f>
        <v>3112.2360880000001</v>
      </c>
      <c r="F25" s="944"/>
      <c r="G25" s="944"/>
      <c r="H25" s="944"/>
      <c r="I25" s="944"/>
      <c r="J25" s="944"/>
      <c r="K25" s="944"/>
      <c r="L25" s="944"/>
      <c r="M25" s="944"/>
      <c r="N25" s="944"/>
      <c r="O25" s="944"/>
      <c r="P25" s="944"/>
      <c r="Q25" s="945"/>
      <c r="R25" s="684">
        <f>SUM(C25:Q25)</f>
        <v>4584.05771</v>
      </c>
      <c r="S25" s="67"/>
    </row>
    <row r="26" spans="1:19" s="444" customFormat="1" ht="15.75" thickBot="1">
      <c r="A26" s="689" t="s">
        <v>715</v>
      </c>
      <c r="B26" s="810"/>
      <c r="C26" s="805">
        <f>SUM(C24:C25)</f>
        <v>3840.3828859999999</v>
      </c>
      <c r="D26" s="805">
        <f t="shared" ref="D26:R26" si="2">SUM(D24:D25)</f>
        <v>43315.032818532818</v>
      </c>
      <c r="E26" s="805">
        <f t="shared" si="2"/>
        <v>3112.2360880000001</v>
      </c>
      <c r="F26" s="805">
        <f t="shared" si="2"/>
        <v>73.922015994292266</v>
      </c>
      <c r="G26" s="805">
        <f t="shared" si="2"/>
        <v>8370.7578891148078</v>
      </c>
      <c r="H26" s="805">
        <f t="shared" si="2"/>
        <v>0</v>
      </c>
      <c r="I26" s="805">
        <f t="shared" si="2"/>
        <v>0</v>
      </c>
      <c r="J26" s="805">
        <f t="shared" si="2"/>
        <v>0</v>
      </c>
      <c r="K26" s="805">
        <f t="shared" si="2"/>
        <v>652.55505406041095</v>
      </c>
      <c r="L26" s="805">
        <f t="shared" si="2"/>
        <v>0</v>
      </c>
      <c r="M26" s="805">
        <f t="shared" si="2"/>
        <v>0</v>
      </c>
      <c r="N26" s="805">
        <f t="shared" si="2"/>
        <v>0</v>
      </c>
      <c r="O26" s="805">
        <f t="shared" si="2"/>
        <v>0</v>
      </c>
      <c r="P26" s="805">
        <f t="shared" si="2"/>
        <v>0</v>
      </c>
      <c r="Q26" s="805">
        <f t="shared" si="2"/>
        <v>0</v>
      </c>
      <c r="R26" s="805">
        <f t="shared" si="2"/>
        <v>59364.886751702325</v>
      </c>
      <c r="S26" s="67"/>
    </row>
    <row r="27" spans="1:19" s="444" customFormat="1" ht="17.25" thickTop="1" thickBot="1">
      <c r="A27" s="690" t="s">
        <v>115</v>
      </c>
      <c r="B27" s="797"/>
      <c r="C27" s="691">
        <f ca="1">C22+C16+C26</f>
        <v>107267.51966337149</v>
      </c>
      <c r="D27" s="691">
        <f t="shared" ref="D27:R27" ca="1" si="3">D22+D16+D26</f>
        <v>61707.17567567568</v>
      </c>
      <c r="E27" s="691">
        <f t="shared" ca="1" si="3"/>
        <v>137978.9804128033</v>
      </c>
      <c r="F27" s="691">
        <f t="shared" si="3"/>
        <v>4190.1196629905044</v>
      </c>
      <c r="G27" s="691">
        <f t="shared" ca="1" si="3"/>
        <v>42717.40437450981</v>
      </c>
      <c r="H27" s="691">
        <f t="shared" si="3"/>
        <v>331109.75966957933</v>
      </c>
      <c r="I27" s="691">
        <f t="shared" si="3"/>
        <v>58121.437356651841</v>
      </c>
      <c r="J27" s="691">
        <f t="shared" si="3"/>
        <v>0</v>
      </c>
      <c r="K27" s="691">
        <f t="shared" si="3"/>
        <v>938.67599096147546</v>
      </c>
      <c r="L27" s="691">
        <f t="shared" si="3"/>
        <v>0</v>
      </c>
      <c r="M27" s="691">
        <f t="shared" ca="1" si="3"/>
        <v>0</v>
      </c>
      <c r="N27" s="691">
        <f t="shared" si="3"/>
        <v>22932.007221514115</v>
      </c>
      <c r="O27" s="691">
        <f t="shared" ca="1" si="3"/>
        <v>12760.870728580048</v>
      </c>
      <c r="P27" s="691">
        <f t="shared" si="3"/>
        <v>357.1124794896657</v>
      </c>
      <c r="Q27" s="691">
        <f t="shared" si="3"/>
        <v>989.40822553081159</v>
      </c>
      <c r="R27" s="691">
        <f t="shared" ca="1" si="3"/>
        <v>781070.4714616579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11676.95617471243</v>
      </c>
      <c r="D40" s="681">
        <f ca="1">tertiair!C20</f>
        <v>4370.7907960361745</v>
      </c>
      <c r="E40" s="681">
        <f ca="1">tertiair!D20</f>
        <v>4488.4336250909446</v>
      </c>
      <c r="F40" s="681">
        <f>tertiair!E20</f>
        <v>157.98677478216428</v>
      </c>
      <c r="G40" s="681">
        <f ca="1">tertiair!F20</f>
        <v>1218.0311842047367</v>
      </c>
      <c r="H40" s="681">
        <f>tertiair!G20</f>
        <v>0</v>
      </c>
      <c r="I40" s="681">
        <f>tertiair!H20</f>
        <v>0</v>
      </c>
      <c r="J40" s="681">
        <f>tertiair!I20</f>
        <v>0</v>
      </c>
      <c r="K40" s="681">
        <f>tertiair!J20</f>
        <v>9.4277600823263717E-3</v>
      </c>
      <c r="L40" s="681">
        <f>tertiair!K20</f>
        <v>0</v>
      </c>
      <c r="M40" s="681">
        <f ca="1">tertiair!L20</f>
        <v>0</v>
      </c>
      <c r="N40" s="681">
        <f>tertiair!M20</f>
        <v>0</v>
      </c>
      <c r="O40" s="681">
        <f ca="1">tertiair!N20</f>
        <v>0</v>
      </c>
      <c r="P40" s="681">
        <f>tertiair!O20</f>
        <v>0</v>
      </c>
      <c r="Q40" s="764">
        <f>tertiair!P20</f>
        <v>0</v>
      </c>
      <c r="R40" s="843">
        <f t="shared" ca="1" si="4"/>
        <v>21912.207982586533</v>
      </c>
    </row>
    <row r="41" spans="1:18">
      <c r="A41" s="815" t="s">
        <v>219</v>
      </c>
      <c r="B41" s="822"/>
      <c r="C41" s="681">
        <f ca="1">huishoudens!B12</f>
        <v>7324.3369851116904</v>
      </c>
      <c r="D41" s="681">
        <f ca="1">huishoudens!C12</f>
        <v>0</v>
      </c>
      <c r="E41" s="681">
        <f>huishoudens!D12</f>
        <v>20282.166586277199</v>
      </c>
      <c r="F41" s="681">
        <f>huishoudens!E12</f>
        <v>364.31566626523687</v>
      </c>
      <c r="G41" s="681">
        <f>huishoudens!F12</f>
        <v>6908.1887460222943</v>
      </c>
      <c r="H41" s="681">
        <f>huishoudens!G12</f>
        <v>0</v>
      </c>
      <c r="I41" s="681">
        <f>huishoudens!H12</f>
        <v>0</v>
      </c>
      <c r="J41" s="681">
        <f>huishoudens!I12</f>
        <v>0</v>
      </c>
      <c r="K41" s="681">
        <f>huishoudens!J12</f>
        <v>36.590486714423861</v>
      </c>
      <c r="L41" s="681">
        <f>huishoudens!K12</f>
        <v>0</v>
      </c>
      <c r="M41" s="681">
        <f>huishoudens!L12</f>
        <v>0</v>
      </c>
      <c r="N41" s="681">
        <f>huishoudens!M12</f>
        <v>0</v>
      </c>
      <c r="O41" s="681">
        <f>huishoudens!N12</f>
        <v>0</v>
      </c>
      <c r="P41" s="681">
        <f>huishoudens!O12</f>
        <v>0</v>
      </c>
      <c r="Q41" s="764">
        <f>huishoudens!P12</f>
        <v>0</v>
      </c>
      <c r="R41" s="843">
        <f t="shared" ca="1" si="4"/>
        <v>34915.598470390847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2528.9741415978756</v>
      </c>
      <c r="D43" s="681">
        <f ca="1">industrie!C22</f>
        <v>0</v>
      </c>
      <c r="E43" s="681">
        <f>industrie!D22</f>
        <v>2343.6260468322685</v>
      </c>
      <c r="F43" s="681">
        <f>industrie!E22</f>
        <v>271.7385463578853</v>
      </c>
      <c r="G43" s="681">
        <f>industrie!F22</f>
        <v>1044.3346813734336</v>
      </c>
      <c r="H43" s="681">
        <f>industrie!G22</f>
        <v>0</v>
      </c>
      <c r="I43" s="681">
        <f>industrie!H22</f>
        <v>0</v>
      </c>
      <c r="J43" s="681">
        <f>industrie!I22</f>
        <v>0</v>
      </c>
      <c r="K43" s="681">
        <f>industrie!J22</f>
        <v>64.686897188470653</v>
      </c>
      <c r="L43" s="681">
        <f>industrie!K22</f>
        <v>0</v>
      </c>
      <c r="M43" s="681">
        <f>industrie!L22</f>
        <v>0</v>
      </c>
      <c r="N43" s="681">
        <f>industrie!M22</f>
        <v>0</v>
      </c>
      <c r="O43" s="681">
        <f>industrie!N22</f>
        <v>0</v>
      </c>
      <c r="P43" s="681">
        <f>industrie!O22</f>
        <v>0</v>
      </c>
      <c r="Q43" s="764">
        <f>industrie!P22</f>
        <v>0</v>
      </c>
      <c r="R43" s="842">
        <f t="shared" ca="1" si="4"/>
        <v>6253.3603133499328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21530.267301421994</v>
      </c>
      <c r="D46" s="717">
        <f t="shared" ref="D46:Q46" ca="1" si="5">SUM(D39:D45)</f>
        <v>4370.7907960361745</v>
      </c>
      <c r="E46" s="717">
        <f t="shared" ca="1" si="5"/>
        <v>27114.226258200411</v>
      </c>
      <c r="F46" s="717">
        <f t="shared" si="5"/>
        <v>794.04098740528639</v>
      </c>
      <c r="G46" s="717">
        <f t="shared" ca="1" si="5"/>
        <v>9170.5546116004643</v>
      </c>
      <c r="H46" s="717">
        <f t="shared" si="5"/>
        <v>0</v>
      </c>
      <c r="I46" s="717">
        <f t="shared" si="5"/>
        <v>0</v>
      </c>
      <c r="J46" s="717">
        <f t="shared" si="5"/>
        <v>0</v>
      </c>
      <c r="K46" s="717">
        <f t="shared" si="5"/>
        <v>101.28681166297685</v>
      </c>
      <c r="L46" s="717">
        <f t="shared" si="5"/>
        <v>0</v>
      </c>
      <c r="M46" s="717">
        <f t="shared" ca="1" si="5"/>
        <v>0</v>
      </c>
      <c r="N46" s="717">
        <f t="shared" si="5"/>
        <v>0</v>
      </c>
      <c r="O46" s="717">
        <f t="shared" ca="1" si="5"/>
        <v>0</v>
      </c>
      <c r="P46" s="717">
        <f t="shared" si="5"/>
        <v>0</v>
      </c>
      <c r="Q46" s="717">
        <f t="shared" si="5"/>
        <v>0</v>
      </c>
      <c r="R46" s="717">
        <f ca="1">SUM(R39:R45)</f>
        <v>63081.166766327318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5.2565196663479092</v>
      </c>
      <c r="D49" s="681">
        <f ca="1">transport!C58</f>
        <v>0</v>
      </c>
      <c r="E49" s="681">
        <f>transport!D58</f>
        <v>0</v>
      </c>
      <c r="F49" s="681">
        <f>transport!E58</f>
        <v>0</v>
      </c>
      <c r="G49" s="681">
        <f>transport!F58</f>
        <v>0</v>
      </c>
      <c r="H49" s="681">
        <f>transport!G58</f>
        <v>486.39029429676953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491.64681396311744</v>
      </c>
    </row>
    <row r="50" spans="1:18">
      <c r="A50" s="818" t="s">
        <v>301</v>
      </c>
      <c r="B50" s="828"/>
      <c r="C50" s="687">
        <f ca="1">transport!B18</f>
        <v>87.009491551943697</v>
      </c>
      <c r="D50" s="687">
        <f>transport!C18</f>
        <v>0</v>
      </c>
      <c r="E50" s="687">
        <f>transport!D18</f>
        <v>128.85609540985499</v>
      </c>
      <c r="F50" s="687">
        <f>transport!E18</f>
        <v>140.33587846285363</v>
      </c>
      <c r="G50" s="687">
        <f>transport!F18</f>
        <v>0</v>
      </c>
      <c r="H50" s="687">
        <f>transport!G18</f>
        <v>87919.91553748092</v>
      </c>
      <c r="I50" s="687">
        <f>transport!H18</f>
        <v>14472.237901806307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102748.35490471189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92.266011218291609</v>
      </c>
      <c r="D52" s="717">
        <f t="shared" ref="D52:Q52" ca="1" si="6">SUM(D48:D51)</f>
        <v>0</v>
      </c>
      <c r="E52" s="717">
        <f t="shared" si="6"/>
        <v>128.85609540985499</v>
      </c>
      <c r="F52" s="717">
        <f t="shared" si="6"/>
        <v>140.33587846285363</v>
      </c>
      <c r="G52" s="717">
        <f t="shared" si="6"/>
        <v>0</v>
      </c>
      <c r="H52" s="717">
        <f t="shared" si="6"/>
        <v>88406.305831777689</v>
      </c>
      <c r="I52" s="717">
        <f t="shared" si="6"/>
        <v>14472.237901806307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103240.001718675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495.17270253849279</v>
      </c>
      <c r="D54" s="687">
        <f ca="1">+landbouw!C12</f>
        <v>10293.577439222778</v>
      </c>
      <c r="E54" s="687">
        <f>+landbouw!D12</f>
        <v>0</v>
      </c>
      <c r="F54" s="687">
        <f>+landbouw!E12</f>
        <v>16.780297630704347</v>
      </c>
      <c r="G54" s="687">
        <f>+landbouw!F12</f>
        <v>2234.9923563936536</v>
      </c>
      <c r="H54" s="687">
        <f>+landbouw!G12</f>
        <v>0</v>
      </c>
      <c r="I54" s="687">
        <f>+landbouw!H12</f>
        <v>0</v>
      </c>
      <c r="J54" s="687">
        <f>+landbouw!I12</f>
        <v>0</v>
      </c>
      <c r="K54" s="687">
        <f>+landbouw!J12</f>
        <v>231.00448913738546</v>
      </c>
      <c r="L54" s="687">
        <f>+landbouw!K12</f>
        <v>0</v>
      </c>
      <c r="M54" s="687">
        <f>+landbouw!L12</f>
        <v>0</v>
      </c>
      <c r="N54" s="687">
        <f>+landbouw!M12</f>
        <v>0</v>
      </c>
      <c r="O54" s="687">
        <f>+landbouw!N12</f>
        <v>0</v>
      </c>
      <c r="P54" s="687">
        <f>+landbouw!O12</f>
        <v>0</v>
      </c>
      <c r="Q54" s="688">
        <f>+landbouw!P12</f>
        <v>0</v>
      </c>
      <c r="R54" s="716">
        <f ca="1">SUM(C54:Q54)</f>
        <v>13271.527284923015</v>
      </c>
    </row>
    <row r="55" spans="1:18" ht="15" thickBot="1">
      <c r="A55" s="818" t="s">
        <v>714</v>
      </c>
      <c r="B55" s="828"/>
      <c r="C55" s="687">
        <f ca="1">C25*'EF ele_warmte'!B12</f>
        <v>307.69982659833283</v>
      </c>
      <c r="D55" s="687"/>
      <c r="E55" s="687">
        <f>E25*EF_CO2_aardgas</f>
        <v>628.67168977600011</v>
      </c>
      <c r="F55" s="687"/>
      <c r="G55" s="687"/>
      <c r="H55" s="687"/>
      <c r="I55" s="687"/>
      <c r="J55" s="687"/>
      <c r="K55" s="687"/>
      <c r="L55" s="687"/>
      <c r="M55" s="687"/>
      <c r="N55" s="687"/>
      <c r="O55" s="687"/>
      <c r="P55" s="687"/>
      <c r="Q55" s="688"/>
      <c r="R55" s="716">
        <f ca="1">SUM(C55:Q55)</f>
        <v>936.37151637433294</v>
      </c>
    </row>
    <row r="56" spans="1:18" ht="15.75" thickBot="1">
      <c r="A56" s="816" t="s">
        <v>715</v>
      </c>
      <c r="B56" s="829"/>
      <c r="C56" s="717">
        <f ca="1">SUM(C54:C55)</f>
        <v>802.87252913682562</v>
      </c>
      <c r="D56" s="717">
        <f t="shared" ref="D56:Q56" ca="1" si="7">SUM(D54:D55)</f>
        <v>10293.577439222778</v>
      </c>
      <c r="E56" s="717">
        <f t="shared" si="7"/>
        <v>628.67168977600011</v>
      </c>
      <c r="F56" s="717">
        <f t="shared" si="7"/>
        <v>16.780297630704347</v>
      </c>
      <c r="G56" s="717">
        <f t="shared" si="7"/>
        <v>2234.9923563936536</v>
      </c>
      <c r="H56" s="717">
        <f t="shared" si="7"/>
        <v>0</v>
      </c>
      <c r="I56" s="717">
        <f t="shared" si="7"/>
        <v>0</v>
      </c>
      <c r="J56" s="717">
        <f t="shared" si="7"/>
        <v>0</v>
      </c>
      <c r="K56" s="717">
        <f t="shared" si="7"/>
        <v>231.00448913738546</v>
      </c>
      <c r="L56" s="717">
        <f t="shared" si="7"/>
        <v>0</v>
      </c>
      <c r="M56" s="717">
        <f t="shared" si="7"/>
        <v>0</v>
      </c>
      <c r="N56" s="717">
        <f t="shared" si="7"/>
        <v>0</v>
      </c>
      <c r="O56" s="717">
        <f t="shared" si="7"/>
        <v>0</v>
      </c>
      <c r="P56" s="717">
        <f t="shared" si="7"/>
        <v>0</v>
      </c>
      <c r="Q56" s="718">
        <f t="shared" si="7"/>
        <v>0</v>
      </c>
      <c r="R56" s="719">
        <f ca="1">SUM(R54:R55)</f>
        <v>14207.898801297348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22425.405841777112</v>
      </c>
      <c r="D61" s="725">
        <f t="shared" ref="D61:Q61" ca="1" si="8">D46+D52+D56</f>
        <v>14664.368235258953</v>
      </c>
      <c r="E61" s="725">
        <f t="shared" ca="1" si="8"/>
        <v>27871.754043386267</v>
      </c>
      <c r="F61" s="725">
        <f t="shared" si="8"/>
        <v>951.1571634988444</v>
      </c>
      <c r="G61" s="725">
        <f t="shared" ca="1" si="8"/>
        <v>11405.546967994118</v>
      </c>
      <c r="H61" s="725">
        <f t="shared" si="8"/>
        <v>88406.305831777689</v>
      </c>
      <c r="I61" s="725">
        <f t="shared" si="8"/>
        <v>14472.237901806307</v>
      </c>
      <c r="J61" s="725">
        <f t="shared" si="8"/>
        <v>0</v>
      </c>
      <c r="K61" s="725">
        <f t="shared" si="8"/>
        <v>332.29130080036231</v>
      </c>
      <c r="L61" s="725">
        <f t="shared" si="8"/>
        <v>0</v>
      </c>
      <c r="M61" s="725">
        <f t="shared" ca="1" si="8"/>
        <v>0</v>
      </c>
      <c r="N61" s="725">
        <f t="shared" si="8"/>
        <v>0</v>
      </c>
      <c r="O61" s="725">
        <f t="shared" ca="1" si="8"/>
        <v>0</v>
      </c>
      <c r="P61" s="725">
        <f t="shared" si="8"/>
        <v>0</v>
      </c>
      <c r="Q61" s="725">
        <f t="shared" si="8"/>
        <v>0</v>
      </c>
      <c r="R61" s="725">
        <f ca="1">R46+R52+R56</f>
        <v>180529.06728629969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0.20906054239114366</v>
      </c>
      <c r="D63" s="771">
        <f t="shared" ca="1" si="9"/>
        <v>0.2376444566565942</v>
      </c>
      <c r="E63" s="969">
        <f t="shared" ca="1" si="9"/>
        <v>0.20200000000000001</v>
      </c>
      <c r="F63" s="771">
        <f t="shared" si="9"/>
        <v>0.22699999999999998</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9048.2955163329243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43195</v>
      </c>
      <c r="D76" s="952">
        <f>'lokale energieproductie'!C8</f>
        <v>50817.090620205876</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10265.052305281588</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9048.2955163329243</v>
      </c>
      <c r="C78" s="743">
        <f>SUM(C72:C77)</f>
        <v>43195</v>
      </c>
      <c r="D78" s="744">
        <f t="shared" ref="D78:H78" si="10">SUM(D76:D77)</f>
        <v>50817.090620205876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10265.052305281588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61707.175675675673</v>
      </c>
      <c r="D87" s="767">
        <f>'lokale energieproductie'!C17</f>
        <v>72595.88235276709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14664.368235258953</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61707.175675675673</v>
      </c>
      <c r="D90" s="743">
        <f t="shared" ref="D90:H90" si="12">SUM(D87:D89)</f>
        <v>72595.88235276709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14664.368235258953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35034.525890630081</v>
      </c>
      <c r="C4" s="448">
        <f>huishoudens!C8</f>
        <v>0</v>
      </c>
      <c r="D4" s="448">
        <f>huishoudens!D8</f>
        <v>100406.7652786</v>
      </c>
      <c r="E4" s="448">
        <f>huishoudens!E8</f>
        <v>1604.914829362277</v>
      </c>
      <c r="F4" s="448">
        <f>huishoudens!F8</f>
        <v>25873.366089971139</v>
      </c>
      <c r="G4" s="448">
        <f>huishoudens!G8</f>
        <v>0</v>
      </c>
      <c r="H4" s="448">
        <f>huishoudens!H8</f>
        <v>0</v>
      </c>
      <c r="I4" s="448">
        <f>huishoudens!I8</f>
        <v>0</v>
      </c>
      <c r="J4" s="448">
        <f>huishoudens!J8</f>
        <v>103.3629568204064</v>
      </c>
      <c r="K4" s="448">
        <f>huishoudens!K8</f>
        <v>0</v>
      </c>
      <c r="L4" s="448">
        <f>huishoudens!L8</f>
        <v>0</v>
      </c>
      <c r="M4" s="448">
        <f>huishoudens!M8</f>
        <v>0</v>
      </c>
      <c r="N4" s="448">
        <f>huishoudens!N8</f>
        <v>11152.994793511287</v>
      </c>
      <c r="O4" s="448">
        <f>huishoudens!O8</f>
        <v>357.1124794896657</v>
      </c>
      <c r="P4" s="449">
        <f>huishoudens!P8</f>
        <v>674.17339569184151</v>
      </c>
      <c r="Q4" s="450">
        <f>SUM(B4:P4)</f>
        <v>175207.21571407668</v>
      </c>
    </row>
    <row r="5" spans="1:17">
      <c r="A5" s="447" t="s">
        <v>155</v>
      </c>
      <c r="B5" s="448">
        <f ca="1">tertiair!B16</f>
        <v>54472.999992000005</v>
      </c>
      <c r="C5" s="448">
        <f ca="1">tertiair!C16</f>
        <v>18392.142857142859</v>
      </c>
      <c r="D5" s="448">
        <f ca="1">tertiair!D16</f>
        <v>22219.968441044279</v>
      </c>
      <c r="E5" s="448">
        <f>tertiair!E16</f>
        <v>695.97698141922581</v>
      </c>
      <c r="F5" s="448">
        <f ca="1">tertiair!F16</f>
        <v>4561.9145475832838</v>
      </c>
      <c r="G5" s="448">
        <f>tertiair!G16</f>
        <v>0</v>
      </c>
      <c r="H5" s="448">
        <f>tertiair!H16</f>
        <v>0</v>
      </c>
      <c r="I5" s="448">
        <f>tertiair!I16</f>
        <v>0</v>
      </c>
      <c r="J5" s="448">
        <f>tertiair!J16</f>
        <v>2.6632090628040599E-2</v>
      </c>
      <c r="K5" s="448">
        <f>tertiair!K16</f>
        <v>0</v>
      </c>
      <c r="L5" s="448">
        <f ca="1">tertiair!L16</f>
        <v>0</v>
      </c>
      <c r="M5" s="448">
        <f>tertiair!M16</f>
        <v>0</v>
      </c>
      <c r="N5" s="448">
        <f ca="1">tertiair!N16</f>
        <v>1066.7879578801442</v>
      </c>
      <c r="O5" s="448">
        <f>tertiair!O16</f>
        <v>0</v>
      </c>
      <c r="P5" s="449">
        <f>tertiair!P16</f>
        <v>315.23482983897009</v>
      </c>
      <c r="Q5" s="447">
        <f t="shared" ref="Q5:Q14" ca="1" si="0">SUM(B5:P5)</f>
        <v>101725.05223899939</v>
      </c>
    </row>
    <row r="6" spans="1:17">
      <c r="A6" s="447" t="s">
        <v>193</v>
      </c>
      <c r="B6" s="448">
        <f>'openbare verlichting'!B8</f>
        <v>1381.424</v>
      </c>
      <c r="C6" s="448"/>
      <c r="D6" s="448"/>
      <c r="E6" s="448"/>
      <c r="F6" s="448"/>
      <c r="G6" s="448"/>
      <c r="H6" s="448"/>
      <c r="I6" s="448"/>
      <c r="J6" s="448"/>
      <c r="K6" s="448"/>
      <c r="L6" s="448"/>
      <c r="M6" s="448"/>
      <c r="N6" s="448"/>
      <c r="O6" s="448"/>
      <c r="P6" s="449"/>
      <c r="Q6" s="447">
        <f t="shared" si="0"/>
        <v>1381.424</v>
      </c>
    </row>
    <row r="7" spans="1:17">
      <c r="A7" s="447" t="s">
        <v>111</v>
      </c>
      <c r="B7" s="448">
        <f>landbouw!B8</f>
        <v>2368.5612639999999</v>
      </c>
      <c r="C7" s="448">
        <f>landbouw!C8</f>
        <v>43315.032818532818</v>
      </c>
      <c r="D7" s="448">
        <f>landbouw!D8</f>
        <v>0</v>
      </c>
      <c r="E7" s="448">
        <f>landbouw!E8</f>
        <v>73.922015994292266</v>
      </c>
      <c r="F7" s="448">
        <f>landbouw!F8</f>
        <v>8370.7578891148078</v>
      </c>
      <c r="G7" s="448">
        <f>landbouw!G8</f>
        <v>0</v>
      </c>
      <c r="H7" s="448">
        <f>landbouw!H8</f>
        <v>0</v>
      </c>
      <c r="I7" s="448">
        <f>landbouw!I8</f>
        <v>0</v>
      </c>
      <c r="J7" s="448">
        <f>landbouw!J8</f>
        <v>652.55505406041095</v>
      </c>
      <c r="K7" s="448">
        <f>landbouw!K8</f>
        <v>0</v>
      </c>
      <c r="L7" s="448">
        <f>landbouw!L8</f>
        <v>0</v>
      </c>
      <c r="M7" s="448">
        <f>landbouw!M8</f>
        <v>0</v>
      </c>
      <c r="N7" s="448">
        <f>landbouw!N8</f>
        <v>0</v>
      </c>
      <c r="O7" s="448">
        <f>landbouw!O8</f>
        <v>0</v>
      </c>
      <c r="P7" s="449">
        <f>landbouw!P8</f>
        <v>0</v>
      </c>
      <c r="Q7" s="447">
        <f t="shared" si="0"/>
        <v>54780.829041702324</v>
      </c>
    </row>
    <row r="8" spans="1:17">
      <c r="A8" s="447" t="s">
        <v>618</v>
      </c>
      <c r="B8" s="448">
        <f>industrie!B18</f>
        <v>12096.850570999999</v>
      </c>
      <c r="C8" s="448">
        <f>industrie!C18</f>
        <v>0</v>
      </c>
      <c r="D8" s="448">
        <f>industrie!D18</f>
        <v>11602.109142734002</v>
      </c>
      <c r="E8" s="448">
        <f>industrie!E18</f>
        <v>1197.0861073034594</v>
      </c>
      <c r="F8" s="448">
        <f>industrie!F18</f>
        <v>3911.365847840575</v>
      </c>
      <c r="G8" s="448">
        <f>industrie!G18</f>
        <v>0</v>
      </c>
      <c r="H8" s="448">
        <f>industrie!H18</f>
        <v>0</v>
      </c>
      <c r="I8" s="448">
        <f>industrie!I18</f>
        <v>0</v>
      </c>
      <c r="J8" s="448">
        <f>industrie!J18</f>
        <v>182.73134799003009</v>
      </c>
      <c r="K8" s="448">
        <f>industrie!K18</f>
        <v>0</v>
      </c>
      <c r="L8" s="448">
        <f>industrie!L18</f>
        <v>0</v>
      </c>
      <c r="M8" s="448">
        <f>industrie!M18</f>
        <v>0</v>
      </c>
      <c r="N8" s="448">
        <f>industrie!N18</f>
        <v>541.08797718861842</v>
      </c>
      <c r="O8" s="448">
        <f>industrie!O18</f>
        <v>0</v>
      </c>
      <c r="P8" s="449">
        <f>industrie!P18</f>
        <v>0</v>
      </c>
      <c r="Q8" s="447">
        <f t="shared" si="0"/>
        <v>29531.230994056685</v>
      </c>
    </row>
    <row r="9" spans="1:17" s="453" customFormat="1">
      <c r="A9" s="451" t="s">
        <v>544</v>
      </c>
      <c r="B9" s="452">
        <f>transport!B14</f>
        <v>416.19279543029467</v>
      </c>
      <c r="C9" s="452">
        <f>transport!C14</f>
        <v>0</v>
      </c>
      <c r="D9" s="452">
        <f>transport!D14</f>
        <v>637.90146242502465</v>
      </c>
      <c r="E9" s="452">
        <f>transport!E14</f>
        <v>618.21972891124949</v>
      </c>
      <c r="F9" s="452">
        <f>transport!F14</f>
        <v>0</v>
      </c>
      <c r="G9" s="452">
        <f>transport!G14</f>
        <v>329288.07317408582</v>
      </c>
      <c r="H9" s="452">
        <f>transport!H14</f>
        <v>58121.437356651841</v>
      </c>
      <c r="I9" s="452">
        <f>transport!I14</f>
        <v>0</v>
      </c>
      <c r="J9" s="452">
        <f>transport!J14</f>
        <v>0</v>
      </c>
      <c r="K9" s="452">
        <f>transport!K14</f>
        <v>0</v>
      </c>
      <c r="L9" s="452">
        <f>transport!L14</f>
        <v>0</v>
      </c>
      <c r="M9" s="452">
        <f>transport!M14</f>
        <v>22828.967208344711</v>
      </c>
      <c r="N9" s="452">
        <f>transport!N14</f>
        <v>0</v>
      </c>
      <c r="O9" s="452">
        <f>transport!O14</f>
        <v>0</v>
      </c>
      <c r="P9" s="452">
        <f>transport!P14</f>
        <v>0</v>
      </c>
      <c r="Q9" s="451">
        <f>SUM(B9:P9)</f>
        <v>411910.79172584892</v>
      </c>
    </row>
    <row r="10" spans="1:17">
      <c r="A10" s="447" t="s">
        <v>534</v>
      </c>
      <c r="B10" s="448">
        <f>transport!B54</f>
        <v>25.143528311110842</v>
      </c>
      <c r="C10" s="448">
        <f>transport!C54</f>
        <v>0</v>
      </c>
      <c r="D10" s="448">
        <f>transport!D54</f>
        <v>0</v>
      </c>
      <c r="E10" s="448">
        <f>transport!E54</f>
        <v>0</v>
      </c>
      <c r="F10" s="448">
        <f>transport!F54</f>
        <v>0</v>
      </c>
      <c r="G10" s="448">
        <f>transport!G54</f>
        <v>1821.6864954935188</v>
      </c>
      <c r="H10" s="448">
        <f>transport!H54</f>
        <v>0</v>
      </c>
      <c r="I10" s="448">
        <f>transport!I54</f>
        <v>0</v>
      </c>
      <c r="J10" s="448">
        <f>transport!J54</f>
        <v>0</v>
      </c>
      <c r="K10" s="448">
        <f>transport!K54</f>
        <v>0</v>
      </c>
      <c r="L10" s="448">
        <f>transport!L54</f>
        <v>0</v>
      </c>
      <c r="M10" s="448">
        <f>transport!M54</f>
        <v>103.04001316940482</v>
      </c>
      <c r="N10" s="448">
        <f>transport!N54</f>
        <v>0</v>
      </c>
      <c r="O10" s="448">
        <f>transport!O54</f>
        <v>0</v>
      </c>
      <c r="P10" s="449">
        <f>transport!P54</f>
        <v>0</v>
      </c>
      <c r="Q10" s="447">
        <f t="shared" si="0"/>
        <v>1949.8700369740345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1471.8216219999999</v>
      </c>
      <c r="C14" s="455"/>
      <c r="D14" s="455">
        <f>'SEAP template'!E25</f>
        <v>3112.2360880000001</v>
      </c>
      <c r="E14" s="455"/>
      <c r="F14" s="455"/>
      <c r="G14" s="455"/>
      <c r="H14" s="455"/>
      <c r="I14" s="455"/>
      <c r="J14" s="455"/>
      <c r="K14" s="455"/>
      <c r="L14" s="455"/>
      <c r="M14" s="455"/>
      <c r="N14" s="455"/>
      <c r="O14" s="455"/>
      <c r="P14" s="456"/>
      <c r="Q14" s="447">
        <f t="shared" si="0"/>
        <v>4584.05771</v>
      </c>
    </row>
    <row r="15" spans="1:17" s="459" customFormat="1">
      <c r="A15" s="457" t="s">
        <v>538</v>
      </c>
      <c r="B15" s="458">
        <f ca="1">SUM(B4:B14)</f>
        <v>107267.51966337149</v>
      </c>
      <c r="C15" s="458">
        <f t="shared" ref="C15:Q15" ca="1" si="1">SUM(C4:C14)</f>
        <v>61707.17567567568</v>
      </c>
      <c r="D15" s="458">
        <f t="shared" ca="1" si="1"/>
        <v>137978.9804128033</v>
      </c>
      <c r="E15" s="458">
        <f t="shared" si="1"/>
        <v>4190.1196629905044</v>
      </c>
      <c r="F15" s="458">
        <f t="shared" ca="1" si="1"/>
        <v>42717.40437450981</v>
      </c>
      <c r="G15" s="458">
        <f t="shared" si="1"/>
        <v>331109.75966957933</v>
      </c>
      <c r="H15" s="458">
        <f t="shared" si="1"/>
        <v>58121.437356651841</v>
      </c>
      <c r="I15" s="458">
        <f t="shared" si="1"/>
        <v>0</v>
      </c>
      <c r="J15" s="458">
        <f t="shared" si="1"/>
        <v>938.67599096147546</v>
      </c>
      <c r="K15" s="458">
        <f t="shared" si="1"/>
        <v>0</v>
      </c>
      <c r="L15" s="458">
        <f t="shared" ca="1" si="1"/>
        <v>0</v>
      </c>
      <c r="M15" s="458">
        <f t="shared" si="1"/>
        <v>22932.007221514115</v>
      </c>
      <c r="N15" s="458">
        <f t="shared" ca="1" si="1"/>
        <v>12760.870728580048</v>
      </c>
      <c r="O15" s="458">
        <f t="shared" si="1"/>
        <v>357.1124794896657</v>
      </c>
      <c r="P15" s="458">
        <f t="shared" si="1"/>
        <v>989.40822553081159</v>
      </c>
      <c r="Q15" s="458">
        <f t="shared" ca="1" si="1"/>
        <v>781070.47146165802</v>
      </c>
    </row>
    <row r="17" spans="1:17">
      <c r="A17" s="460" t="s">
        <v>539</v>
      </c>
      <c r="B17" s="776">
        <f ca="1">huishoudens!B10</f>
        <v>0.20906054239114366</v>
      </c>
      <c r="C17" s="776">
        <f ca="1">huishoudens!C10</f>
        <v>0.2376444566565942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7324.3369851116904</v>
      </c>
      <c r="C22" s="448">
        <f t="shared" ref="C22:C32" ca="1" si="3">C4*$C$17</f>
        <v>0</v>
      </c>
      <c r="D22" s="448">
        <f t="shared" ref="D22:D32" si="4">D4*$D$17</f>
        <v>20282.166586277199</v>
      </c>
      <c r="E22" s="448">
        <f t="shared" ref="E22:E32" si="5">E4*$E$17</f>
        <v>364.31566626523687</v>
      </c>
      <c r="F22" s="448">
        <f t="shared" ref="F22:F32" si="6">F4*$F$17</f>
        <v>6908.1887460222943</v>
      </c>
      <c r="G22" s="448">
        <f t="shared" ref="G22:G32" si="7">G4*$G$17</f>
        <v>0</v>
      </c>
      <c r="H22" s="448">
        <f t="shared" ref="H22:H32" si="8">H4*$H$17</f>
        <v>0</v>
      </c>
      <c r="I22" s="448">
        <f t="shared" ref="I22:I32" si="9">I4*$I$17</f>
        <v>0</v>
      </c>
      <c r="J22" s="448">
        <f t="shared" ref="J22:J32" si="10">J4*$J$17</f>
        <v>36.590486714423861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34915.598470390847</v>
      </c>
    </row>
    <row r="23" spans="1:17">
      <c r="A23" s="447" t="s">
        <v>155</v>
      </c>
      <c r="B23" s="448">
        <f t="shared" ca="1" si="2"/>
        <v>11388.154924000286</v>
      </c>
      <c r="C23" s="448">
        <f t="shared" ca="1" si="3"/>
        <v>4370.7907960361745</v>
      </c>
      <c r="D23" s="448">
        <f t="shared" ca="1" si="4"/>
        <v>4488.4336250909446</v>
      </c>
      <c r="E23" s="448">
        <f t="shared" si="5"/>
        <v>157.98677478216428</v>
      </c>
      <c r="F23" s="448">
        <f t="shared" ca="1" si="6"/>
        <v>1218.0311842047367</v>
      </c>
      <c r="G23" s="448">
        <f t="shared" si="7"/>
        <v>0</v>
      </c>
      <c r="H23" s="448">
        <f t="shared" si="8"/>
        <v>0</v>
      </c>
      <c r="I23" s="448">
        <f t="shared" si="9"/>
        <v>0</v>
      </c>
      <c r="J23" s="448">
        <f t="shared" si="10"/>
        <v>9.4277600823263717E-3</v>
      </c>
      <c r="K23" s="448">
        <f t="shared" si="11"/>
        <v>0</v>
      </c>
      <c r="L23" s="448">
        <f t="shared" ca="1" si="12"/>
        <v>0</v>
      </c>
      <c r="M23" s="448">
        <f t="shared" si="13"/>
        <v>0</v>
      </c>
      <c r="N23" s="448">
        <f t="shared" ca="1" si="14"/>
        <v>0</v>
      </c>
      <c r="O23" s="448">
        <f t="shared" si="15"/>
        <v>0</v>
      </c>
      <c r="P23" s="449">
        <f t="shared" si="16"/>
        <v>0</v>
      </c>
      <c r="Q23" s="447">
        <f t="shared" ref="Q23:Q31" ca="1" si="17">SUM(B23:P23)</f>
        <v>21623.406731874387</v>
      </c>
    </row>
    <row r="24" spans="1:17">
      <c r="A24" s="447" t="s">
        <v>193</v>
      </c>
      <c r="B24" s="448">
        <f t="shared" ca="1" si="2"/>
        <v>288.80125071214326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288.80125071214326</v>
      </c>
    </row>
    <row r="25" spans="1:17">
      <c r="A25" s="447" t="s">
        <v>111</v>
      </c>
      <c r="B25" s="448">
        <f t="shared" ca="1" si="2"/>
        <v>495.17270253849279</v>
      </c>
      <c r="C25" s="448">
        <f t="shared" ca="1" si="3"/>
        <v>10293.577439222778</v>
      </c>
      <c r="D25" s="448">
        <f t="shared" si="4"/>
        <v>0</v>
      </c>
      <c r="E25" s="448">
        <f t="shared" si="5"/>
        <v>16.780297630704347</v>
      </c>
      <c r="F25" s="448">
        <f t="shared" si="6"/>
        <v>2234.9923563936536</v>
      </c>
      <c r="G25" s="448">
        <f t="shared" si="7"/>
        <v>0</v>
      </c>
      <c r="H25" s="448">
        <f t="shared" si="8"/>
        <v>0</v>
      </c>
      <c r="I25" s="448">
        <f t="shared" si="9"/>
        <v>0</v>
      </c>
      <c r="J25" s="448">
        <f t="shared" si="10"/>
        <v>231.00448913738546</v>
      </c>
      <c r="K25" s="448">
        <f t="shared" si="11"/>
        <v>0</v>
      </c>
      <c r="L25" s="448">
        <f t="shared" si="12"/>
        <v>0</v>
      </c>
      <c r="M25" s="448">
        <f t="shared" si="13"/>
        <v>0</v>
      </c>
      <c r="N25" s="448">
        <f t="shared" si="14"/>
        <v>0</v>
      </c>
      <c r="O25" s="448">
        <f t="shared" si="15"/>
        <v>0</v>
      </c>
      <c r="P25" s="449">
        <f t="shared" si="16"/>
        <v>0</v>
      </c>
      <c r="Q25" s="447">
        <f t="shared" ca="1" si="17"/>
        <v>13271.527284923015</v>
      </c>
    </row>
    <row r="26" spans="1:17">
      <c r="A26" s="447" t="s">
        <v>618</v>
      </c>
      <c r="B26" s="448">
        <f t="shared" ca="1" si="2"/>
        <v>2528.9741415978756</v>
      </c>
      <c r="C26" s="448">
        <f t="shared" ca="1" si="3"/>
        <v>0</v>
      </c>
      <c r="D26" s="448">
        <f t="shared" si="4"/>
        <v>2343.6260468322685</v>
      </c>
      <c r="E26" s="448">
        <f t="shared" si="5"/>
        <v>271.7385463578853</v>
      </c>
      <c r="F26" s="448">
        <f t="shared" si="6"/>
        <v>1044.3346813734336</v>
      </c>
      <c r="G26" s="448">
        <f t="shared" si="7"/>
        <v>0</v>
      </c>
      <c r="H26" s="448">
        <f t="shared" si="8"/>
        <v>0</v>
      </c>
      <c r="I26" s="448">
        <f t="shared" si="9"/>
        <v>0</v>
      </c>
      <c r="J26" s="448">
        <f t="shared" si="10"/>
        <v>64.686897188470653</v>
      </c>
      <c r="K26" s="448">
        <f t="shared" si="11"/>
        <v>0</v>
      </c>
      <c r="L26" s="448">
        <f t="shared" si="12"/>
        <v>0</v>
      </c>
      <c r="M26" s="448">
        <f t="shared" si="13"/>
        <v>0</v>
      </c>
      <c r="N26" s="448">
        <f t="shared" si="14"/>
        <v>0</v>
      </c>
      <c r="O26" s="448">
        <f t="shared" si="15"/>
        <v>0</v>
      </c>
      <c r="P26" s="449">
        <f t="shared" si="16"/>
        <v>0</v>
      </c>
      <c r="Q26" s="447">
        <f t="shared" ca="1" si="17"/>
        <v>6253.3603133499328</v>
      </c>
    </row>
    <row r="27" spans="1:17" s="453" customFormat="1">
      <c r="A27" s="451" t="s">
        <v>544</v>
      </c>
      <c r="B27" s="770">
        <f t="shared" ca="1" si="2"/>
        <v>87.009491551943697</v>
      </c>
      <c r="C27" s="452">
        <f t="shared" ca="1" si="3"/>
        <v>0</v>
      </c>
      <c r="D27" s="452">
        <f t="shared" si="4"/>
        <v>128.85609540985499</v>
      </c>
      <c r="E27" s="452">
        <f t="shared" si="5"/>
        <v>140.33587846285363</v>
      </c>
      <c r="F27" s="452">
        <f t="shared" si="6"/>
        <v>0</v>
      </c>
      <c r="G27" s="452">
        <f t="shared" si="7"/>
        <v>87919.91553748092</v>
      </c>
      <c r="H27" s="452">
        <f t="shared" si="8"/>
        <v>14472.237901806307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102748.35490471189</v>
      </c>
    </row>
    <row r="28" spans="1:17" ht="16.5" customHeight="1">
      <c r="A28" s="447" t="s">
        <v>534</v>
      </c>
      <c r="B28" s="448">
        <f t="shared" ca="1" si="2"/>
        <v>5.2565196663479092</v>
      </c>
      <c r="C28" s="448">
        <f t="shared" ca="1" si="3"/>
        <v>0</v>
      </c>
      <c r="D28" s="448">
        <f t="shared" si="4"/>
        <v>0</v>
      </c>
      <c r="E28" s="448">
        <f t="shared" si="5"/>
        <v>0</v>
      </c>
      <c r="F28" s="448">
        <f t="shared" si="6"/>
        <v>0</v>
      </c>
      <c r="G28" s="448">
        <f t="shared" si="7"/>
        <v>486.39029429676953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491.64681396311744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307.69982659833283</v>
      </c>
      <c r="C32" s="448">
        <f t="shared" ca="1" si="3"/>
        <v>0</v>
      </c>
      <c r="D32" s="448">
        <f t="shared" si="4"/>
        <v>628.67168977600011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936.37151637433294</v>
      </c>
    </row>
    <row r="33" spans="1:17" s="459" customFormat="1">
      <c r="A33" s="457" t="s">
        <v>538</v>
      </c>
      <c r="B33" s="458">
        <f ca="1">SUM(B22:B32)</f>
        <v>22425.405841777112</v>
      </c>
      <c r="C33" s="458">
        <f t="shared" ref="C33:Q33" ca="1" si="19">SUM(C22:C32)</f>
        <v>14664.368235258953</v>
      </c>
      <c r="D33" s="458">
        <f t="shared" ca="1" si="19"/>
        <v>27871.754043386267</v>
      </c>
      <c r="E33" s="458">
        <f t="shared" si="19"/>
        <v>951.1571634988444</v>
      </c>
      <c r="F33" s="458">
        <f t="shared" ca="1" si="19"/>
        <v>11405.546967994118</v>
      </c>
      <c r="G33" s="458">
        <f t="shared" si="19"/>
        <v>88406.305831777689</v>
      </c>
      <c r="H33" s="458">
        <f t="shared" si="19"/>
        <v>14472.237901806307</v>
      </c>
      <c r="I33" s="458">
        <f t="shared" si="19"/>
        <v>0</v>
      </c>
      <c r="J33" s="458">
        <f t="shared" si="19"/>
        <v>332.29130080036231</v>
      </c>
      <c r="K33" s="458">
        <f t="shared" si="19"/>
        <v>0</v>
      </c>
      <c r="L33" s="458">
        <f t="shared" ca="1" si="19"/>
        <v>0</v>
      </c>
      <c r="M33" s="458">
        <f t="shared" si="19"/>
        <v>0</v>
      </c>
      <c r="N33" s="458">
        <f t="shared" ca="1" si="19"/>
        <v>0</v>
      </c>
      <c r="O33" s="458">
        <f t="shared" si="19"/>
        <v>0</v>
      </c>
      <c r="P33" s="458">
        <f t="shared" si="19"/>
        <v>0</v>
      </c>
      <c r="Q33" s="458">
        <f t="shared" ca="1" si="19"/>
        <v>180529.06728629966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9048.2955163329243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43195</v>
      </c>
      <c r="D8" s="1021">
        <f>'SEAP template'!D76</f>
        <v>50817.090620205876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10265.052305281588</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9048.2955163329243</v>
      </c>
      <c r="C10" s="1023">
        <f>SUM(C4:C9)</f>
        <v>43195</v>
      </c>
      <c r="D10" s="1023">
        <f t="shared" ref="D10:H10" si="0">SUM(D8:D9)</f>
        <v>50817.090620205876</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10265.052305281588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0.20906054239114366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61707.175675675673</v>
      </c>
      <c r="D17" s="1022">
        <f>'SEAP template'!D87</f>
        <v>72595.88235276709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14664.368235258953</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61707.175675675673</v>
      </c>
      <c r="D20" s="1023">
        <f t="shared" ref="D20:H20" si="2">SUM(D17:D19)</f>
        <v>72595.88235276709</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14664.368235258953</v>
      </c>
    </row>
    <row r="21" spans="1:16">
      <c r="B21" s="881"/>
    </row>
    <row r="22" spans="1:16">
      <c r="A22" s="460" t="s">
        <v>786</v>
      </c>
      <c r="B22" s="776" t="s">
        <v>784</v>
      </c>
      <c r="C22" s="776">
        <f ca="1">'EF ele_warmte'!B22</f>
        <v>0.2376444566565942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0.20906054239114366</v>
      </c>
      <c r="C17" s="496">
        <f ca="1">'EF ele_warmte'!B22</f>
        <v>0.2376444566565942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0.20906054239114366</v>
      </c>
      <c r="C17" s="496">
        <f ca="1">'EF ele_warmte'!B22</f>
        <v>0.2376444566565942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0.20906054239114366</v>
      </c>
      <c r="C29" s="497">
        <f ca="1">'EF ele_warmte'!B22</f>
        <v>0.2376444566565942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8625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913.58</v>
      </c>
      <c r="C14" s="326"/>
      <c r="D14" s="326"/>
      <c r="E14" s="326"/>
      <c r="F14" s="326"/>
    </row>
    <row r="15" spans="1:6">
      <c r="A15" s="1298" t="s">
        <v>183</v>
      </c>
      <c r="B15" s="1299">
        <v>174</v>
      </c>
      <c r="C15" s="326"/>
      <c r="D15" s="326"/>
      <c r="E15" s="326"/>
      <c r="F15" s="326"/>
    </row>
    <row r="16" spans="1:6">
      <c r="A16" s="1298" t="s">
        <v>6</v>
      </c>
      <c r="B16" s="1299">
        <v>877</v>
      </c>
      <c r="C16" s="326"/>
      <c r="D16" s="326"/>
      <c r="E16" s="326"/>
      <c r="F16" s="326"/>
    </row>
    <row r="17" spans="1:6">
      <c r="A17" s="1298" t="s">
        <v>7</v>
      </c>
      <c r="B17" s="1299">
        <v>80</v>
      </c>
      <c r="C17" s="326"/>
      <c r="D17" s="326"/>
      <c r="E17" s="326"/>
      <c r="F17" s="326"/>
    </row>
    <row r="18" spans="1:6">
      <c r="A18" s="1298" t="s">
        <v>8</v>
      </c>
      <c r="B18" s="1299">
        <v>555</v>
      </c>
      <c r="C18" s="326"/>
      <c r="D18" s="326"/>
      <c r="E18" s="326"/>
      <c r="F18" s="326"/>
    </row>
    <row r="19" spans="1:6">
      <c r="A19" s="1298" t="s">
        <v>9</v>
      </c>
      <c r="B19" s="1299">
        <v>391</v>
      </c>
      <c r="C19" s="326"/>
      <c r="D19" s="326"/>
      <c r="E19" s="326"/>
      <c r="F19" s="326"/>
    </row>
    <row r="20" spans="1:6">
      <c r="A20" s="1298" t="s">
        <v>10</v>
      </c>
      <c r="B20" s="1299">
        <v>503</v>
      </c>
      <c r="C20" s="326"/>
      <c r="D20" s="326"/>
      <c r="E20" s="326"/>
      <c r="F20" s="326"/>
    </row>
    <row r="21" spans="1:6">
      <c r="A21" s="1298" t="s">
        <v>11</v>
      </c>
      <c r="B21" s="1299">
        <v>0</v>
      </c>
      <c r="C21" s="326"/>
      <c r="D21" s="326"/>
      <c r="E21" s="326"/>
      <c r="F21" s="326"/>
    </row>
    <row r="22" spans="1:6">
      <c r="A22" s="1298" t="s">
        <v>12</v>
      </c>
      <c r="B22" s="1299">
        <v>28</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4</v>
      </c>
      <c r="C27" s="326"/>
      <c r="D27" s="326"/>
      <c r="E27" s="326"/>
      <c r="F27" s="326"/>
    </row>
    <row r="28" spans="1:6" s="43" customFormat="1">
      <c r="A28" s="1300" t="s">
        <v>18</v>
      </c>
      <c r="B28" s="1301">
        <v>0</v>
      </c>
      <c r="C28" s="332"/>
      <c r="D28" s="332"/>
      <c r="E28" s="332"/>
      <c r="F28" s="332"/>
    </row>
    <row r="29" spans="1:6">
      <c r="A29" s="1300" t="s">
        <v>695</v>
      </c>
      <c r="B29" s="1301">
        <v>89</v>
      </c>
      <c r="C29" s="332"/>
      <c r="D29" s="332"/>
      <c r="E29" s="332"/>
      <c r="F29" s="332"/>
    </row>
    <row r="30" spans="1:6">
      <c r="A30" s="1293" t="s">
        <v>696</v>
      </c>
      <c r="B30" s="1302">
        <v>20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35647667.399999999</v>
      </c>
      <c r="E38" s="1299">
        <v>3</v>
      </c>
      <c r="F38" s="1299">
        <v>651443.23100000003</v>
      </c>
    </row>
    <row r="39" spans="1:6">
      <c r="A39" s="1298" t="s">
        <v>29</v>
      </c>
      <c r="B39" s="1298" t="s">
        <v>30</v>
      </c>
      <c r="C39" s="1299">
        <v>7053</v>
      </c>
      <c r="D39" s="1299">
        <v>111315704.3</v>
      </c>
      <c r="E39" s="1299">
        <v>8472</v>
      </c>
      <c r="F39" s="1299">
        <v>31227004</v>
      </c>
    </row>
    <row r="40" spans="1:6">
      <c r="A40" s="1298" t="s">
        <v>29</v>
      </c>
      <c r="B40" s="1298" t="s">
        <v>28</v>
      </c>
      <c r="C40" s="1299">
        <v>0</v>
      </c>
      <c r="D40" s="1299">
        <v>0</v>
      </c>
      <c r="E40" s="1299">
        <v>1</v>
      </c>
      <c r="F40" s="1299">
        <v>0</v>
      </c>
    </row>
    <row r="41" spans="1:6">
      <c r="A41" s="1298" t="s">
        <v>31</v>
      </c>
      <c r="B41" s="1298" t="s">
        <v>32</v>
      </c>
      <c r="C41" s="1299">
        <v>92</v>
      </c>
      <c r="D41" s="1299">
        <v>5406625.8789999997</v>
      </c>
      <c r="E41" s="1299">
        <v>172</v>
      </c>
      <c r="F41" s="1299">
        <v>3349629.0759999999</v>
      </c>
    </row>
    <row r="42" spans="1:6">
      <c r="A42" s="1298" t="s">
        <v>31</v>
      </c>
      <c r="B42" s="1298" t="s">
        <v>33</v>
      </c>
      <c r="C42" s="1299">
        <v>3</v>
      </c>
      <c r="D42" s="1299">
        <v>231369.76300000001</v>
      </c>
      <c r="E42" s="1299">
        <v>3</v>
      </c>
      <c r="F42" s="1299">
        <v>85430.914000000004</v>
      </c>
    </row>
    <row r="43" spans="1:6">
      <c r="A43" s="1298" t="s">
        <v>31</v>
      </c>
      <c r="B43" s="1298" t="s">
        <v>34</v>
      </c>
      <c r="C43" s="1299">
        <v>0</v>
      </c>
      <c r="D43" s="1299">
        <v>0</v>
      </c>
      <c r="E43" s="1299">
        <v>0</v>
      </c>
      <c r="F43" s="1299">
        <v>0</v>
      </c>
    </row>
    <row r="44" spans="1:6">
      <c r="A44" s="1298" t="s">
        <v>31</v>
      </c>
      <c r="B44" s="1298" t="s">
        <v>35</v>
      </c>
      <c r="C44" s="1299">
        <v>4</v>
      </c>
      <c r="D44" s="1299">
        <v>121281.156</v>
      </c>
      <c r="E44" s="1299">
        <v>21</v>
      </c>
      <c r="F44" s="1299">
        <v>832155.049</v>
      </c>
    </row>
    <row r="45" spans="1:6">
      <c r="A45" s="1298" t="s">
        <v>31</v>
      </c>
      <c r="B45" s="1298" t="s">
        <v>36</v>
      </c>
      <c r="C45" s="1299">
        <v>3</v>
      </c>
      <c r="D45" s="1299">
        <v>59022.915000000001</v>
      </c>
      <c r="E45" s="1299">
        <v>3</v>
      </c>
      <c r="F45" s="1299">
        <v>39555.773999999998</v>
      </c>
    </row>
    <row r="46" spans="1:6">
      <c r="A46" s="1298" t="s">
        <v>31</v>
      </c>
      <c r="B46" s="1298" t="s">
        <v>37</v>
      </c>
      <c r="C46" s="1299">
        <v>0</v>
      </c>
      <c r="D46" s="1299">
        <v>0</v>
      </c>
      <c r="E46" s="1299">
        <v>0</v>
      </c>
      <c r="F46" s="1299">
        <v>0</v>
      </c>
    </row>
    <row r="47" spans="1:6">
      <c r="A47" s="1298" t="s">
        <v>31</v>
      </c>
      <c r="B47" s="1298" t="s">
        <v>38</v>
      </c>
      <c r="C47" s="1299">
        <v>3</v>
      </c>
      <c r="D47" s="1299">
        <v>150252.087</v>
      </c>
      <c r="E47" s="1299">
        <v>6</v>
      </c>
      <c r="F47" s="1299">
        <v>1251623.841</v>
      </c>
    </row>
    <row r="48" spans="1:6">
      <c r="A48" s="1298" t="s">
        <v>31</v>
      </c>
      <c r="B48" s="1298" t="s">
        <v>28</v>
      </c>
      <c r="C48" s="1299">
        <v>36</v>
      </c>
      <c r="D48" s="1299">
        <v>5844704.0580000002</v>
      </c>
      <c r="E48" s="1299">
        <v>40</v>
      </c>
      <c r="F48" s="1299">
        <v>5440808.9199999999</v>
      </c>
    </row>
    <row r="49" spans="1:6">
      <c r="A49" s="1298" t="s">
        <v>31</v>
      </c>
      <c r="B49" s="1298" t="s">
        <v>39</v>
      </c>
      <c r="C49" s="1299">
        <v>0</v>
      </c>
      <c r="D49" s="1299">
        <v>0</v>
      </c>
      <c r="E49" s="1299">
        <v>0</v>
      </c>
      <c r="F49" s="1299">
        <v>0</v>
      </c>
    </row>
    <row r="50" spans="1:6">
      <c r="A50" s="1298" t="s">
        <v>31</v>
      </c>
      <c r="B50" s="1298" t="s">
        <v>40</v>
      </c>
      <c r="C50" s="1299">
        <v>10</v>
      </c>
      <c r="D50" s="1299">
        <v>1049392.8589999999</v>
      </c>
      <c r="E50" s="1299">
        <v>11</v>
      </c>
      <c r="F50" s="1299">
        <v>1097646.997</v>
      </c>
    </row>
    <row r="51" spans="1:6">
      <c r="A51" s="1298" t="s">
        <v>41</v>
      </c>
      <c r="B51" s="1298" t="s">
        <v>42</v>
      </c>
      <c r="C51" s="1299">
        <v>3</v>
      </c>
      <c r="D51" s="1299">
        <v>36840652.659999996</v>
      </c>
      <c r="E51" s="1299">
        <v>46</v>
      </c>
      <c r="F51" s="1299">
        <v>2244744.3139999998</v>
      </c>
    </row>
    <row r="52" spans="1:6">
      <c r="A52" s="1298" t="s">
        <v>41</v>
      </c>
      <c r="B52" s="1298" t="s">
        <v>28</v>
      </c>
      <c r="C52" s="1299">
        <v>5</v>
      </c>
      <c r="D52" s="1299">
        <v>41247993.270000003</v>
      </c>
      <c r="E52" s="1299">
        <v>5</v>
      </c>
      <c r="F52" s="1299">
        <v>123816.95</v>
      </c>
    </row>
    <row r="53" spans="1:6">
      <c r="A53" s="1298" t="s">
        <v>43</v>
      </c>
      <c r="B53" s="1298" t="s">
        <v>44</v>
      </c>
      <c r="C53" s="1299">
        <v>158</v>
      </c>
      <c r="D53" s="1299">
        <v>3112236.088</v>
      </c>
      <c r="E53" s="1299">
        <v>360</v>
      </c>
      <c r="F53" s="1299">
        <v>1471821.622</v>
      </c>
    </row>
    <row r="54" spans="1:6">
      <c r="A54" s="1298" t="s">
        <v>45</v>
      </c>
      <c r="B54" s="1298" t="s">
        <v>46</v>
      </c>
      <c r="C54" s="1299">
        <v>0</v>
      </c>
      <c r="D54" s="1299">
        <v>0</v>
      </c>
      <c r="E54" s="1299">
        <v>1</v>
      </c>
      <c r="F54" s="1299">
        <v>1381424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50</v>
      </c>
      <c r="D57" s="1299">
        <v>1586015.84</v>
      </c>
      <c r="E57" s="1299">
        <v>91</v>
      </c>
      <c r="F57" s="1299">
        <v>1282894.841</v>
      </c>
    </row>
    <row r="58" spans="1:6">
      <c r="A58" s="1298" t="s">
        <v>48</v>
      </c>
      <c r="B58" s="1298" t="s">
        <v>50</v>
      </c>
      <c r="C58" s="1299">
        <v>59</v>
      </c>
      <c r="D58" s="1299">
        <v>3557703.3390000002</v>
      </c>
      <c r="E58" s="1299">
        <v>65</v>
      </c>
      <c r="F58" s="1299">
        <v>1184322.345</v>
      </c>
    </row>
    <row r="59" spans="1:6">
      <c r="A59" s="1298" t="s">
        <v>48</v>
      </c>
      <c r="B59" s="1298" t="s">
        <v>51</v>
      </c>
      <c r="C59" s="1299">
        <v>187</v>
      </c>
      <c r="D59" s="1299">
        <v>19386196.789999999</v>
      </c>
      <c r="E59" s="1299">
        <v>335</v>
      </c>
      <c r="F59" s="1299">
        <v>18382230.510000002</v>
      </c>
    </row>
    <row r="60" spans="1:6">
      <c r="A60" s="1298" t="s">
        <v>48</v>
      </c>
      <c r="B60" s="1298" t="s">
        <v>52</v>
      </c>
      <c r="C60" s="1299">
        <v>63</v>
      </c>
      <c r="D60" s="1299">
        <v>2910671.1340000001</v>
      </c>
      <c r="E60" s="1299">
        <v>83</v>
      </c>
      <c r="F60" s="1299">
        <v>2841893.9890000001</v>
      </c>
    </row>
    <row r="61" spans="1:6">
      <c r="A61" s="1298" t="s">
        <v>48</v>
      </c>
      <c r="B61" s="1298" t="s">
        <v>53</v>
      </c>
      <c r="C61" s="1299">
        <v>300</v>
      </c>
      <c r="D61" s="1299">
        <v>25511277.510000002</v>
      </c>
      <c r="E61" s="1299">
        <v>585</v>
      </c>
      <c r="F61" s="1299">
        <v>14713857.93</v>
      </c>
    </row>
    <row r="62" spans="1:6">
      <c r="A62" s="1298" t="s">
        <v>48</v>
      </c>
      <c r="B62" s="1298" t="s">
        <v>54</v>
      </c>
      <c r="C62" s="1299">
        <v>14</v>
      </c>
      <c r="D62" s="1299">
        <v>1998182.2919999999</v>
      </c>
      <c r="E62" s="1299">
        <v>11</v>
      </c>
      <c r="F62" s="1299">
        <v>660698.38100000005</v>
      </c>
    </row>
    <row r="63" spans="1:6">
      <c r="A63" s="1298" t="s">
        <v>48</v>
      </c>
      <c r="B63" s="1298" t="s">
        <v>28</v>
      </c>
      <c r="C63" s="1299">
        <v>110</v>
      </c>
      <c r="D63" s="1299">
        <v>10464869.01</v>
      </c>
      <c r="E63" s="1299">
        <v>108</v>
      </c>
      <c r="F63" s="1299">
        <v>2532601.9959999998</v>
      </c>
    </row>
    <row r="64" spans="1:6">
      <c r="A64" s="1298" t="s">
        <v>55</v>
      </c>
      <c r="B64" s="1298" t="s">
        <v>56</v>
      </c>
      <c r="C64" s="1299">
        <v>0</v>
      </c>
      <c r="D64" s="1299">
        <v>0</v>
      </c>
      <c r="E64" s="1299">
        <v>0</v>
      </c>
      <c r="F64" s="1299">
        <v>0</v>
      </c>
    </row>
    <row r="65" spans="1:6">
      <c r="A65" s="1298" t="s">
        <v>55</v>
      </c>
      <c r="B65" s="1298" t="s">
        <v>28</v>
      </c>
      <c r="C65" s="1299">
        <v>2</v>
      </c>
      <c r="D65" s="1299">
        <v>16630.868999999999</v>
      </c>
      <c r="E65" s="1299">
        <v>1</v>
      </c>
      <c r="F65" s="1299">
        <v>8388</v>
      </c>
    </row>
    <row r="66" spans="1:6">
      <c r="A66" s="1298" t="s">
        <v>55</v>
      </c>
      <c r="B66" s="1298" t="s">
        <v>57</v>
      </c>
      <c r="C66" s="1299">
        <v>0</v>
      </c>
      <c r="D66" s="1299">
        <v>0</v>
      </c>
      <c r="E66" s="1299">
        <v>16</v>
      </c>
      <c r="F66" s="1299">
        <v>629270.07900000003</v>
      </c>
    </row>
    <row r="67" spans="1:6">
      <c r="A67" s="1300" t="s">
        <v>55</v>
      </c>
      <c r="B67" s="1300" t="s">
        <v>58</v>
      </c>
      <c r="C67" s="1299">
        <v>0</v>
      </c>
      <c r="D67" s="1299">
        <v>0</v>
      </c>
      <c r="E67" s="1299">
        <v>0</v>
      </c>
      <c r="F67" s="1299">
        <v>0</v>
      </c>
    </row>
    <row r="68" spans="1:6">
      <c r="A68" s="1293" t="s">
        <v>55</v>
      </c>
      <c r="B68" s="1293" t="s">
        <v>59</v>
      </c>
      <c r="C68" s="1302">
        <v>3</v>
      </c>
      <c r="D68" s="1302">
        <v>71305.180999999997</v>
      </c>
      <c r="E68" s="1302">
        <v>10</v>
      </c>
      <c r="F68" s="1302">
        <v>177357.99799999999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144745311</v>
      </c>
      <c r="E73" s="446"/>
      <c r="F73" s="326"/>
    </row>
    <row r="74" spans="1:6">
      <c r="A74" s="1298" t="s">
        <v>63</v>
      </c>
      <c r="B74" s="1298" t="s">
        <v>639</v>
      </c>
      <c r="C74" s="1312" t="s">
        <v>641</v>
      </c>
      <c r="D74" s="1313">
        <v>27345061</v>
      </c>
      <c r="E74" s="446"/>
      <c r="F74" s="326"/>
    </row>
    <row r="75" spans="1:6">
      <c r="A75" s="1298" t="s">
        <v>64</v>
      </c>
      <c r="B75" s="1298" t="s">
        <v>638</v>
      </c>
      <c r="C75" s="1312" t="s">
        <v>642</v>
      </c>
      <c r="D75" s="1313">
        <v>34139018</v>
      </c>
      <c r="E75" s="446"/>
      <c r="F75" s="326"/>
    </row>
    <row r="76" spans="1:6">
      <c r="A76" s="1298" t="s">
        <v>64</v>
      </c>
      <c r="B76" s="1298" t="s">
        <v>639</v>
      </c>
      <c r="C76" s="1312" t="s">
        <v>643</v>
      </c>
      <c r="D76" s="1313">
        <v>4363653</v>
      </c>
      <c r="E76" s="446"/>
      <c r="F76" s="326"/>
    </row>
    <row r="77" spans="1:6">
      <c r="A77" s="1298" t="s">
        <v>65</v>
      </c>
      <c r="B77" s="1298" t="s">
        <v>638</v>
      </c>
      <c r="C77" s="1312" t="s">
        <v>644</v>
      </c>
      <c r="D77" s="1313">
        <v>215603248</v>
      </c>
      <c r="E77" s="446"/>
      <c r="F77" s="326"/>
    </row>
    <row r="78" spans="1:6">
      <c r="A78" s="1293" t="s">
        <v>65</v>
      </c>
      <c r="B78" s="1293" t="s">
        <v>639</v>
      </c>
      <c r="C78" s="1293" t="s">
        <v>645</v>
      </c>
      <c r="D78" s="1314">
        <v>24319081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534304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3807.5218906300806</v>
      </c>
      <c r="C91" s="326"/>
      <c r="D91" s="326"/>
      <c r="E91" s="326"/>
      <c r="F91" s="326"/>
    </row>
    <row r="92" spans="1:6">
      <c r="A92" s="1293" t="s">
        <v>68</v>
      </c>
      <c r="B92" s="1294">
        <v>5240.7736257028428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5036</v>
      </c>
      <c r="C97" s="326"/>
      <c r="D97" s="326"/>
      <c r="E97" s="326"/>
      <c r="F97" s="326"/>
    </row>
    <row r="98" spans="1:6">
      <c r="A98" s="1298" t="s">
        <v>71</v>
      </c>
      <c r="B98" s="1299">
        <v>8</v>
      </c>
      <c r="C98" s="326"/>
      <c r="D98" s="326"/>
      <c r="E98" s="326"/>
      <c r="F98" s="326"/>
    </row>
    <row r="99" spans="1:6">
      <c r="A99" s="1298" t="s">
        <v>72</v>
      </c>
      <c r="B99" s="1299">
        <v>24</v>
      </c>
      <c r="C99" s="326"/>
      <c r="D99" s="326"/>
      <c r="E99" s="326"/>
      <c r="F99" s="326"/>
    </row>
    <row r="100" spans="1:6">
      <c r="A100" s="1298" t="s">
        <v>73</v>
      </c>
      <c r="B100" s="1299">
        <v>636</v>
      </c>
      <c r="C100" s="326"/>
      <c r="D100" s="326"/>
      <c r="E100" s="326"/>
      <c r="F100" s="326"/>
    </row>
    <row r="101" spans="1:6">
      <c r="A101" s="1298" t="s">
        <v>74</v>
      </c>
      <c r="B101" s="1299">
        <v>60</v>
      </c>
      <c r="C101" s="326"/>
      <c r="D101" s="326"/>
      <c r="E101" s="326"/>
      <c r="F101" s="326"/>
    </row>
    <row r="102" spans="1:6">
      <c r="A102" s="1298" t="s">
        <v>75</v>
      </c>
      <c r="B102" s="1299">
        <v>89</v>
      </c>
      <c r="C102" s="326"/>
      <c r="D102" s="326"/>
      <c r="E102" s="326"/>
      <c r="F102" s="326"/>
    </row>
    <row r="103" spans="1:6">
      <c r="A103" s="1298" t="s">
        <v>76</v>
      </c>
      <c r="B103" s="1299">
        <v>100</v>
      </c>
      <c r="C103" s="326"/>
      <c r="D103" s="326"/>
      <c r="E103" s="326"/>
      <c r="F103" s="326"/>
    </row>
    <row r="104" spans="1:6">
      <c r="A104" s="1298" t="s">
        <v>77</v>
      </c>
      <c r="B104" s="1299">
        <v>1453</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43</v>
      </c>
      <c r="C123" s="1299">
        <v>24</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154</v>
      </c>
      <c r="C129" s="326"/>
      <c r="D129" s="326"/>
      <c r="E129" s="326"/>
      <c r="F129" s="326"/>
    </row>
    <row r="130" spans="1:6">
      <c r="A130" s="1298" t="s">
        <v>289</v>
      </c>
      <c r="B130" s="1299">
        <v>0</v>
      </c>
      <c r="C130" s="326"/>
      <c r="D130" s="326"/>
      <c r="E130" s="326"/>
      <c r="F130" s="326"/>
    </row>
    <row r="131" spans="1:6">
      <c r="A131" s="1298" t="s">
        <v>290</v>
      </c>
      <c r="B131" s="1299">
        <v>5</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107267.51966337149</v>
      </c>
      <c r="C3" s="43" t="s">
        <v>169</v>
      </c>
      <c r="D3" s="43"/>
      <c r="E3" s="154"/>
      <c r="F3" s="43"/>
      <c r="G3" s="43"/>
      <c r="H3" s="43"/>
      <c r="I3" s="43"/>
      <c r="J3" s="43"/>
      <c r="K3" s="96"/>
    </row>
    <row r="4" spans="1:11">
      <c r="A4" s="354" t="s">
        <v>170</v>
      </c>
      <c r="B4" s="49">
        <f>IF(ISERROR('SEAP template'!B78+'SEAP template'!C78),0,'SEAP template'!B78+'SEAP template'!C78)</f>
        <v>52243.295516332924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10265.052305281588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0.20906054239114366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14664.368235258953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61707.17567567568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0.2376444566565942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1381.424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1381.424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0.20906054239114366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288.80125071214326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31227.004000000001</v>
      </c>
      <c r="C5" s="17">
        <f>IF(ISERROR('Eigen informatie GS &amp; warmtenet'!B59),0,'Eigen informatie GS &amp; warmtenet'!B59)</f>
        <v>0</v>
      </c>
      <c r="D5" s="30">
        <f>(SUM(HH_hh_gas_kWh,HH_rest_gas_kWh)/1000)*0.902</f>
        <v>100406.7652786</v>
      </c>
      <c r="E5" s="17">
        <f>B32*B41</f>
        <v>1604.914829362277</v>
      </c>
      <c r="F5" s="17">
        <f>B36*B45</f>
        <v>25873.366089971139</v>
      </c>
      <c r="G5" s="18"/>
      <c r="H5" s="17"/>
      <c r="I5" s="17"/>
      <c r="J5" s="17">
        <f>B35*B44+C35*C44</f>
        <v>103.3629568204064</v>
      </c>
      <c r="K5" s="17"/>
      <c r="L5" s="17"/>
      <c r="M5" s="17"/>
      <c r="N5" s="17">
        <f>B34*B43+C34*C43</f>
        <v>11152.994793511287</v>
      </c>
      <c r="O5" s="17">
        <f>B52*B53*B54</f>
        <v>357.1124794896657</v>
      </c>
      <c r="P5" s="17">
        <f>B60*B61*B62/1000-B60*B61*B62/1000/B63</f>
        <v>674.17339569184151</v>
      </c>
    </row>
    <row r="6" spans="1:16">
      <c r="A6" s="16" t="s">
        <v>604</v>
      </c>
      <c r="B6" s="778">
        <f>kWh_PV_kleiner_dan_10kW</f>
        <v>3807.5218906300806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35034.525890630081</v>
      </c>
      <c r="C8" s="21">
        <f>C5</f>
        <v>0</v>
      </c>
      <c r="D8" s="21">
        <f>D5</f>
        <v>100406.7652786</v>
      </c>
      <c r="E8" s="21">
        <f>E5</f>
        <v>1604.914829362277</v>
      </c>
      <c r="F8" s="21">
        <f>F5</f>
        <v>25873.366089971139</v>
      </c>
      <c r="G8" s="21"/>
      <c r="H8" s="21"/>
      <c r="I8" s="21"/>
      <c r="J8" s="21">
        <f>J5</f>
        <v>103.3629568204064</v>
      </c>
      <c r="K8" s="21"/>
      <c r="L8" s="21">
        <f>L5</f>
        <v>0</v>
      </c>
      <c r="M8" s="21">
        <f>M5</f>
        <v>0</v>
      </c>
      <c r="N8" s="21">
        <f>N5</f>
        <v>11152.994793511287</v>
      </c>
      <c r="O8" s="21">
        <f>O5</f>
        <v>357.1124794896657</v>
      </c>
      <c r="P8" s="21">
        <f>P5</f>
        <v>674.17339569184151</v>
      </c>
    </row>
    <row r="9" spans="1:16">
      <c r="B9" s="19"/>
      <c r="C9" s="19"/>
      <c r="D9" s="256"/>
      <c r="E9" s="19"/>
      <c r="F9" s="19"/>
      <c r="G9" s="19"/>
      <c r="H9" s="19"/>
      <c r="I9" s="19"/>
      <c r="J9" s="19"/>
      <c r="K9" s="19"/>
      <c r="L9" s="19"/>
      <c r="M9" s="19"/>
      <c r="N9" s="19"/>
      <c r="O9" s="19"/>
      <c r="P9" s="19"/>
    </row>
    <row r="10" spans="1:16">
      <c r="A10" s="24" t="s">
        <v>213</v>
      </c>
      <c r="B10" s="25">
        <f ca="1">'EF ele_warmte'!B12</f>
        <v>0.20906054239114366</v>
      </c>
      <c r="C10" s="25">
        <f ca="1">'EF ele_warmte'!B22</f>
        <v>0.2376444566565942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7324.3369851116904</v>
      </c>
      <c r="C12" s="23">
        <f ca="1">C10*C8</f>
        <v>0</v>
      </c>
      <c r="D12" s="23">
        <f>D8*D10</f>
        <v>20282.166586277199</v>
      </c>
      <c r="E12" s="23">
        <f>E10*E8</f>
        <v>364.31566626523687</v>
      </c>
      <c r="F12" s="23">
        <f>F10*F8</f>
        <v>6908.1887460222943</v>
      </c>
      <c r="G12" s="23"/>
      <c r="H12" s="23"/>
      <c r="I12" s="23"/>
      <c r="J12" s="23">
        <f>J10*J8</f>
        <v>36.590486714423861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8625</v>
      </c>
      <c r="C26" s="36"/>
      <c r="D26" s="226"/>
    </row>
    <row r="27" spans="1:7" s="15" customFormat="1">
      <c r="A27" s="228" t="s">
        <v>806</v>
      </c>
      <c r="B27" s="37">
        <f>SUM(HH_hh_gas_aantal,HH_rest_gas_aantal)</f>
        <v>7053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6700.35</v>
      </c>
      <c r="C31" s="166" t="s">
        <v>110</v>
      </c>
      <c r="D31" s="231"/>
      <c r="G31" s="15"/>
    </row>
    <row r="32" spans="1:7">
      <c r="A32" s="169" t="s">
        <v>72</v>
      </c>
      <c r="B32" s="166">
        <f>IF((B21*($B$26-($B$27-0.05*$B$27)-$B$60))&lt;0,0,B21*($B$26-($B$27-0.05*$B$27)-$B$60))</f>
        <v>29.53818844986959</v>
      </c>
      <c r="C32" s="166" t="s">
        <v>110</v>
      </c>
      <c r="D32" s="231"/>
      <c r="G32" s="15"/>
    </row>
    <row r="33" spans="1:7">
      <c r="A33" s="169" t="s">
        <v>73</v>
      </c>
      <c r="B33" s="166">
        <f>IF((B22*($B$26-($B$27-0.05*$B$27)-$B$60))&lt;0,0,B22*($B$26-($B$27-0.05*$B$27)-$B$60))</f>
        <v>479.64167940155647</v>
      </c>
      <c r="C33" s="166" t="s">
        <v>110</v>
      </c>
      <c r="D33" s="231"/>
      <c r="G33" s="15"/>
    </row>
    <row r="34" spans="1:7">
      <c r="A34" s="169" t="s">
        <v>74</v>
      </c>
      <c r="B34" s="166">
        <f>IF((B24*($B$26-($B$27-0.05*$B$27)-$B$60))&lt;0,0,B24*($B$26-($B$27-0.05*$B$27)-$B$60))</f>
        <v>91.953728728831862</v>
      </c>
      <c r="C34" s="166">
        <f>B26*C24</f>
        <v>1767.3137308314435</v>
      </c>
      <c r="D34" s="231"/>
      <c r="G34" s="15"/>
    </row>
    <row r="35" spans="1:7">
      <c r="A35" s="169" t="s">
        <v>76</v>
      </c>
      <c r="B35" s="166">
        <f>IF((B19*($B$26-($B$27-0.05*$B$27)-$B$60))&lt;0,0,B19*($B$26-($B$27-0.05*$B$27)-$B$60))</f>
        <v>12.840180098189526</v>
      </c>
      <c r="C35" s="166">
        <f>B35/2</f>
        <v>6.420090049094763</v>
      </c>
      <c r="D35" s="232"/>
      <c r="G35" s="15"/>
    </row>
    <row r="36" spans="1:7">
      <c r="A36" s="169" t="s">
        <v>77</v>
      </c>
      <c r="B36" s="166">
        <f>IF((B18*($B$26-($B$27-0.05*$B$27)-$B$60))&lt;0,0,B18*($B$26-($B$27-0.05*$B$27)-$B$60))</f>
        <v>1246.6762233215518</v>
      </c>
      <c r="C36" s="166" t="s">
        <v>110</v>
      </c>
      <c r="D36" s="232"/>
      <c r="G36" s="15"/>
    </row>
    <row r="37" spans="1:7">
      <c r="A37" s="169" t="s">
        <v>78</v>
      </c>
      <c r="B37" s="166">
        <f>B60</f>
        <v>64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41598.499992000005</v>
      </c>
      <c r="C5" s="17">
        <f>IF(ISERROR('Eigen informatie GS &amp; warmtenet'!B60),0,'Eigen informatie GS &amp; warmtenet'!B60)</f>
        <v>0</v>
      </c>
      <c r="D5" s="30">
        <f>SUM(D6:D12)</f>
        <v>59004.254155330003</v>
      </c>
      <c r="E5" s="17">
        <f>SUM(E6:E12)</f>
        <v>695.97698141922581</v>
      </c>
      <c r="F5" s="17">
        <f>SUM(F6:F12)</f>
        <v>4561.9145475832838</v>
      </c>
      <c r="G5" s="18"/>
      <c r="H5" s="17"/>
      <c r="I5" s="17"/>
      <c r="J5" s="17">
        <f>SUM(J6:J12)</f>
        <v>2.6632090628040599E-2</v>
      </c>
      <c r="K5" s="17"/>
      <c r="L5" s="17"/>
      <c r="M5" s="17"/>
      <c r="N5" s="17">
        <f>SUM(N6:N12)</f>
        <v>1066.7879578801442</v>
      </c>
      <c r="O5" s="17">
        <f>B38*B39*B40</f>
        <v>0</v>
      </c>
      <c r="P5" s="17">
        <f>B46*B47*B48/1000-B46*B47*B48/1000/B49</f>
        <v>315.23482983897009</v>
      </c>
      <c r="R5" s="32"/>
    </row>
    <row r="6" spans="1:18">
      <c r="A6" s="32" t="s">
        <v>53</v>
      </c>
      <c r="B6" s="37">
        <f>B26</f>
        <v>14713.85793</v>
      </c>
      <c r="C6" s="33"/>
      <c r="D6" s="37">
        <f>IF(ISERROR(TER_kantoor_gas_kWh/1000),0,TER_kantoor_gas_kWh/1000)*0.902</f>
        <v>23011.172314020001</v>
      </c>
      <c r="E6" s="33">
        <f>$C$26*'E Balans VL '!I12/100/3.6*1000000</f>
        <v>118.39769712819111</v>
      </c>
      <c r="F6" s="33">
        <f>$C$26*('E Balans VL '!L12+'E Balans VL '!N12)/100/3.6*1000000</f>
        <v>1798.9239167723854</v>
      </c>
      <c r="G6" s="34"/>
      <c r="H6" s="33"/>
      <c r="I6" s="33"/>
      <c r="J6" s="33">
        <f>$C$26*('E Balans VL '!D12+'E Balans VL '!E12)/100/3.6*1000000</f>
        <v>0</v>
      </c>
      <c r="K6" s="33"/>
      <c r="L6" s="33"/>
      <c r="M6" s="33"/>
      <c r="N6" s="33">
        <f>$C$26*'E Balans VL '!Y12/100/3.6*1000000</f>
        <v>7.9079740582964009</v>
      </c>
      <c r="O6" s="33"/>
      <c r="P6" s="33"/>
      <c r="R6" s="32"/>
    </row>
    <row r="7" spans="1:18">
      <c r="A7" s="32" t="s">
        <v>52</v>
      </c>
      <c r="B7" s="37">
        <f t="shared" ref="B7:B12" si="0">B27</f>
        <v>2841.8939890000001</v>
      </c>
      <c r="C7" s="33"/>
      <c r="D7" s="37">
        <f>IF(ISERROR(TER_horeca_gas_kWh/1000),0,TER_horeca_gas_kWh/1000)*0.902</f>
        <v>2625.4253628680003</v>
      </c>
      <c r="E7" s="33">
        <f>$C$27*'E Balans VL '!I9/100/3.6*1000000</f>
        <v>30.51496297025712</v>
      </c>
      <c r="F7" s="33">
        <f>$C$27*('E Balans VL '!L9+'E Balans VL '!N9)/100/3.6*1000000</f>
        <v>341.81093466265929</v>
      </c>
      <c r="G7" s="34"/>
      <c r="H7" s="33"/>
      <c r="I7" s="33"/>
      <c r="J7" s="33">
        <f>$C$27*('E Balans VL '!D9+'E Balans VL '!E9)/100/3.6*1000000</f>
        <v>0</v>
      </c>
      <c r="K7" s="33"/>
      <c r="L7" s="33"/>
      <c r="M7" s="33"/>
      <c r="N7" s="33">
        <f>$C$27*'E Balans VL '!Y9/100/3.6*1000000</f>
        <v>0.42605750745515519</v>
      </c>
      <c r="O7" s="33"/>
      <c r="P7" s="33"/>
      <c r="R7" s="32"/>
    </row>
    <row r="8" spans="1:18">
      <c r="A8" s="6" t="s">
        <v>51</v>
      </c>
      <c r="B8" s="37">
        <f t="shared" si="0"/>
        <v>18382.230510000001</v>
      </c>
      <c r="C8" s="33"/>
      <c r="D8" s="37">
        <f>IF(ISERROR(TER_handel_gas_kWh/1000),0,TER_handel_gas_kWh/1000)*0.902</f>
        <v>17486.349504579997</v>
      </c>
      <c r="E8" s="33">
        <f>$C$28*'E Balans VL '!I13/100/3.6*1000000</f>
        <v>493.32279023562188</v>
      </c>
      <c r="F8" s="33">
        <f>$C$28*('E Balans VL '!L13+'E Balans VL '!N13)/100/3.6*1000000</f>
        <v>1754.2313456067982</v>
      </c>
      <c r="G8" s="34"/>
      <c r="H8" s="33"/>
      <c r="I8" s="33"/>
      <c r="J8" s="33">
        <f>$C$28*('E Balans VL '!D13+'E Balans VL '!E13)/100/3.6*1000000</f>
        <v>0</v>
      </c>
      <c r="K8" s="33"/>
      <c r="L8" s="33"/>
      <c r="M8" s="33"/>
      <c r="N8" s="33">
        <f>$C$28*'E Balans VL '!Y13/100/3.6*1000000</f>
        <v>7.286925187210894</v>
      </c>
      <c r="O8" s="33"/>
      <c r="P8" s="33"/>
      <c r="R8" s="32"/>
    </row>
    <row r="9" spans="1:18">
      <c r="A9" s="32" t="s">
        <v>50</v>
      </c>
      <c r="B9" s="37">
        <f t="shared" si="0"/>
        <v>1184.322345</v>
      </c>
      <c r="C9" s="33"/>
      <c r="D9" s="37">
        <f>IF(ISERROR(TER_gezond_gas_kWh/1000),0,TER_gezond_gas_kWh/1000)*0.902</f>
        <v>3209.0484117780002</v>
      </c>
      <c r="E9" s="33">
        <f>$C$29*'E Balans VL '!I10/100/3.6*1000000</f>
        <v>2.2198057066311421</v>
      </c>
      <c r="F9" s="33">
        <f>$C$29*('E Balans VL '!L10+'E Balans VL '!N10)/100/3.6*1000000</f>
        <v>97.362102867751602</v>
      </c>
      <c r="G9" s="34"/>
      <c r="H9" s="33"/>
      <c r="I9" s="33"/>
      <c r="J9" s="33">
        <f>$C$29*('E Balans VL '!D10+'E Balans VL '!E10)/100/3.6*1000000</f>
        <v>0</v>
      </c>
      <c r="K9" s="33"/>
      <c r="L9" s="33"/>
      <c r="M9" s="33"/>
      <c r="N9" s="33">
        <f>$C$29*'E Balans VL '!Y10/100/3.6*1000000</f>
        <v>9.2149114755356774</v>
      </c>
      <c r="O9" s="33"/>
      <c r="P9" s="33"/>
      <c r="R9" s="32"/>
    </row>
    <row r="10" spans="1:18">
      <c r="A10" s="32" t="s">
        <v>49</v>
      </c>
      <c r="B10" s="37">
        <f t="shared" si="0"/>
        <v>1282.894841</v>
      </c>
      <c r="C10" s="33"/>
      <c r="D10" s="37">
        <f>IF(ISERROR(TER_ander_gas_kWh/1000),0,TER_ander_gas_kWh/1000)*0.902</f>
        <v>1430.5862876800002</v>
      </c>
      <c r="E10" s="33">
        <f>$C$30*'E Balans VL '!I14/100/3.6*1000000</f>
        <v>1.9775953967740667</v>
      </c>
      <c r="F10" s="33">
        <f>$C$30*('E Balans VL '!L14+'E Balans VL '!N14)/100/3.6*1000000</f>
        <v>199.16977822784233</v>
      </c>
      <c r="G10" s="34"/>
      <c r="H10" s="33"/>
      <c r="I10" s="33"/>
      <c r="J10" s="33">
        <f>$C$30*('E Balans VL '!D14+'E Balans VL '!E14)/100/3.6*1000000</f>
        <v>2.17784928986899E-2</v>
      </c>
      <c r="K10" s="33"/>
      <c r="L10" s="33"/>
      <c r="M10" s="33"/>
      <c r="N10" s="33">
        <f>$C$30*'E Balans VL '!Y14/100/3.6*1000000</f>
        <v>848.72211033458143</v>
      </c>
      <c r="O10" s="33"/>
      <c r="P10" s="33"/>
      <c r="R10" s="32"/>
    </row>
    <row r="11" spans="1:18">
      <c r="A11" s="32" t="s">
        <v>54</v>
      </c>
      <c r="B11" s="37">
        <f t="shared" si="0"/>
        <v>660.69838100000004</v>
      </c>
      <c r="C11" s="33"/>
      <c r="D11" s="37">
        <f>IF(ISERROR(TER_onderwijs_gas_kWh/1000),0,TER_onderwijs_gas_kWh/1000)*0.902</f>
        <v>1802.3604273840001</v>
      </c>
      <c r="E11" s="33">
        <f>$C$31*'E Balans VL '!I11/100/3.6*1000000</f>
        <v>16.852321322727654</v>
      </c>
      <c r="F11" s="33">
        <f>$C$31*('E Balans VL '!L11+'E Balans VL '!N11)/100/3.6*1000000</f>
        <v>79.455199045229506</v>
      </c>
      <c r="G11" s="34"/>
      <c r="H11" s="33"/>
      <c r="I11" s="33"/>
      <c r="J11" s="33">
        <f>$C$31*('E Balans VL '!D11+'E Balans VL '!E11)/100/3.6*1000000</f>
        <v>0</v>
      </c>
      <c r="K11" s="33"/>
      <c r="L11" s="33"/>
      <c r="M11" s="33"/>
      <c r="N11" s="33">
        <f>$C$31*'E Balans VL '!Y11/100/3.6*1000000</f>
        <v>1.4693770781645925</v>
      </c>
      <c r="O11" s="33"/>
      <c r="P11" s="33"/>
      <c r="R11" s="32"/>
    </row>
    <row r="12" spans="1:18">
      <c r="A12" s="32" t="s">
        <v>254</v>
      </c>
      <c r="B12" s="37">
        <f t="shared" si="0"/>
        <v>2532.6019959999999</v>
      </c>
      <c r="C12" s="33"/>
      <c r="D12" s="37">
        <f>IF(ISERROR(TER_rest_gas_kWh/1000),0,TER_rest_gas_kWh/1000)*0.902</f>
        <v>9439.3118470200006</v>
      </c>
      <c r="E12" s="33">
        <f>$C$32*'E Balans VL '!I8/100/3.6*1000000</f>
        <v>32.691808659022733</v>
      </c>
      <c r="F12" s="33">
        <f>$C$32*('E Balans VL '!L8+'E Balans VL '!N8)/100/3.6*1000000</f>
        <v>290.96127040061793</v>
      </c>
      <c r="G12" s="34"/>
      <c r="H12" s="33"/>
      <c r="I12" s="33"/>
      <c r="J12" s="33">
        <f>$C$32*('E Balans VL '!D8+'E Balans VL '!E8)/100/3.6*1000000</f>
        <v>4.8535977293506999E-3</v>
      </c>
      <c r="K12" s="33"/>
      <c r="L12" s="33"/>
      <c r="M12" s="33"/>
      <c r="N12" s="33">
        <f>$C$32*'E Balans VL '!Y8/100/3.6*1000000</f>
        <v>191.76060223890008</v>
      </c>
      <c r="O12" s="33"/>
      <c r="P12" s="33"/>
      <c r="R12" s="32"/>
    </row>
    <row r="13" spans="1:18">
      <c r="A13" s="16" t="s">
        <v>471</v>
      </c>
      <c r="B13" s="245">
        <f ca="1">'lokale energieproductie'!N41+'lokale energieproductie'!N34</f>
        <v>12874.500000000002</v>
      </c>
      <c r="C13" s="245">
        <f ca="1">'lokale energieproductie'!O41+'lokale energieproductie'!O34</f>
        <v>18392.142857142859</v>
      </c>
      <c r="D13" s="304">
        <f ca="1">('lokale energieproductie'!P34+'lokale energieproductie'!P41)*(-1)</f>
        <v>-36784.285714285725</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54472.999992000005</v>
      </c>
      <c r="C16" s="21">
        <f t="shared" ca="1" si="1"/>
        <v>18392.142857142859</v>
      </c>
      <c r="D16" s="21">
        <f t="shared" ca="1" si="1"/>
        <v>22219.968441044279</v>
      </c>
      <c r="E16" s="21">
        <f t="shared" si="1"/>
        <v>695.97698141922581</v>
      </c>
      <c r="F16" s="21">
        <f t="shared" ca="1" si="1"/>
        <v>4561.9145475832838</v>
      </c>
      <c r="G16" s="21">
        <f t="shared" si="1"/>
        <v>0</v>
      </c>
      <c r="H16" s="21">
        <f t="shared" si="1"/>
        <v>0</v>
      </c>
      <c r="I16" s="21">
        <f t="shared" si="1"/>
        <v>0</v>
      </c>
      <c r="J16" s="21">
        <f t="shared" si="1"/>
        <v>2.6632090628040599E-2</v>
      </c>
      <c r="K16" s="21">
        <f t="shared" si="1"/>
        <v>0</v>
      </c>
      <c r="L16" s="21">
        <f t="shared" ca="1" si="1"/>
        <v>0</v>
      </c>
      <c r="M16" s="21">
        <f t="shared" si="1"/>
        <v>0</v>
      </c>
      <c r="N16" s="21">
        <f t="shared" ca="1" si="1"/>
        <v>1066.7879578801442</v>
      </c>
      <c r="O16" s="21">
        <f>O5</f>
        <v>0</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0.20906054239114366</v>
      </c>
      <c r="C18" s="25">
        <f ca="1">'EF ele_warmte'!B22</f>
        <v>0.2376444566565942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11388.154924000286</v>
      </c>
      <c r="C20" s="23">
        <f t="shared" ref="C20:P20" ca="1" si="2">C16*C18</f>
        <v>4370.7907960361745</v>
      </c>
      <c r="D20" s="23">
        <f t="shared" ca="1" si="2"/>
        <v>4488.4336250909446</v>
      </c>
      <c r="E20" s="23">
        <f t="shared" si="2"/>
        <v>157.98677478216428</v>
      </c>
      <c r="F20" s="23">
        <f t="shared" ca="1" si="2"/>
        <v>1218.0311842047367</v>
      </c>
      <c r="G20" s="23">
        <f t="shared" si="2"/>
        <v>0</v>
      </c>
      <c r="H20" s="23">
        <f t="shared" si="2"/>
        <v>0</v>
      </c>
      <c r="I20" s="23">
        <f t="shared" si="2"/>
        <v>0</v>
      </c>
      <c r="J20" s="23">
        <f t="shared" si="2"/>
        <v>9.4277600823263717E-3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14713.85793</v>
      </c>
      <c r="C26" s="39">
        <f>IF(ISERROR(B26*3.6/1000000/'E Balans VL '!Z12*100),0,B26*3.6/1000000/'E Balans VL '!Z12*100)</f>
        <v>0.31214103435079288</v>
      </c>
      <c r="D26" s="235" t="s">
        <v>698</v>
      </c>
      <c r="F26" s="6"/>
    </row>
    <row r="27" spans="1:18">
      <c r="A27" s="229" t="s">
        <v>52</v>
      </c>
      <c r="B27" s="33">
        <f>IF(ISERROR(TER_horeca_ele_kWh/1000),0,TER_horeca_ele_kWh/1000)</f>
        <v>2841.8939890000001</v>
      </c>
      <c r="C27" s="39">
        <f>IF(ISERROR(B27*3.6/1000000/'E Balans VL '!Z9*100),0,B27*3.6/1000000/'E Balans VL '!Z9*100)</f>
        <v>0.21401979230823753</v>
      </c>
      <c r="D27" s="235" t="s">
        <v>698</v>
      </c>
      <c r="F27" s="6"/>
    </row>
    <row r="28" spans="1:18">
      <c r="A28" s="169" t="s">
        <v>51</v>
      </c>
      <c r="B28" s="33">
        <f>IF(ISERROR(TER_handel_ele_kWh/1000),0,TER_handel_ele_kWh/1000)</f>
        <v>18382.230510000001</v>
      </c>
      <c r="C28" s="39">
        <f>IF(ISERROR(B28*3.6/1000000/'E Balans VL '!Z13*100),0,B28*3.6/1000000/'E Balans VL '!Z13*100)</f>
        <v>0.53357101838078369</v>
      </c>
      <c r="D28" s="235" t="s">
        <v>698</v>
      </c>
      <c r="F28" s="6"/>
    </row>
    <row r="29" spans="1:18">
      <c r="A29" s="229" t="s">
        <v>50</v>
      </c>
      <c r="B29" s="33">
        <f>IF(ISERROR(TER_gezond_ele_kWh/1000),0,TER_gezond_ele_kWh/1000)</f>
        <v>1184.322345</v>
      </c>
      <c r="C29" s="39">
        <f>IF(ISERROR(B29*3.6/1000000/'E Balans VL '!Z10*100),0,B29*3.6/1000000/'E Balans VL '!Z10*100)</f>
        <v>0.11944032085517065</v>
      </c>
      <c r="D29" s="235" t="s">
        <v>698</v>
      </c>
      <c r="F29" s="6"/>
    </row>
    <row r="30" spans="1:18">
      <c r="A30" s="229" t="s">
        <v>49</v>
      </c>
      <c r="B30" s="33">
        <f>IF(ISERROR(TER_ander_ele_kWh/1000),0,TER_ander_ele_kWh/1000)</f>
        <v>1282.894841</v>
      </c>
      <c r="C30" s="39">
        <f>IF(ISERROR(B30*3.6/1000000/'E Balans VL '!Z14*100),0,B30*3.6/1000000/'E Balans VL '!Z14*100)</f>
        <v>9.3091522609242611E-2</v>
      </c>
      <c r="D30" s="235" t="s">
        <v>698</v>
      </c>
      <c r="F30" s="6"/>
    </row>
    <row r="31" spans="1:18">
      <c r="A31" s="229" t="s">
        <v>54</v>
      </c>
      <c r="B31" s="33">
        <f>IF(ISERROR(TER_onderwijs_ele_kWh/1000),0,TER_onderwijs_ele_kWh/1000)</f>
        <v>660.69838100000004</v>
      </c>
      <c r="C31" s="39">
        <f>IF(ISERROR(B31*3.6/1000000/'E Balans VL '!Z11*100),0,B31*3.6/1000000/'E Balans VL '!Z11*100)</f>
        <v>0.18832594347586362</v>
      </c>
      <c r="D31" s="235" t="s">
        <v>698</v>
      </c>
    </row>
    <row r="32" spans="1:18">
      <c r="A32" s="229" t="s">
        <v>254</v>
      </c>
      <c r="B32" s="33">
        <f>IF(ISERROR(TER_rest_ele_kWh/1000),0,TER_rest_ele_kWh/1000)</f>
        <v>2532.6019959999999</v>
      </c>
      <c r="C32" s="39">
        <f>IF(ISERROR(B32*3.6/1000000/'E Balans VL '!Z8*100),0,B32*3.6/1000000/'E Balans VL '!Z8*100)</f>
        <v>2.0746559684357194E-2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12096.850570999999</v>
      </c>
      <c r="C5" s="17">
        <f>IF(ISERROR('Eigen informatie GS &amp; warmtenet'!B61),0,'Eigen informatie GS &amp; warmtenet'!B61)</f>
        <v>0</v>
      </c>
      <c r="D5" s="30">
        <f>SUM(D6:D15)</f>
        <v>11602.109142734002</v>
      </c>
      <c r="E5" s="17">
        <f>SUM(E6:E15)</f>
        <v>1197.0861073034594</v>
      </c>
      <c r="F5" s="17">
        <f>SUM(F6:F15)</f>
        <v>3911.365847840575</v>
      </c>
      <c r="G5" s="18"/>
      <c r="H5" s="17"/>
      <c r="I5" s="17"/>
      <c r="J5" s="17">
        <f>SUM(J6:J15)</f>
        <v>182.73134799003009</v>
      </c>
      <c r="K5" s="17"/>
      <c r="L5" s="17"/>
      <c r="M5" s="17"/>
      <c r="N5" s="17">
        <f>SUM(N6:N15)</f>
        <v>541.08797718861842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832.15504899999996</v>
      </c>
      <c r="C8" s="33"/>
      <c r="D8" s="37">
        <f>IF( ISERROR(IND_metaal_Gas_kWH/1000),0,IND_metaal_Gas_kWH/1000)*0.902</f>
        <v>109.395602712</v>
      </c>
      <c r="E8" s="33">
        <f>C30*'E Balans VL '!I18/100/3.6*1000000</f>
        <v>6.0034146175355261</v>
      </c>
      <c r="F8" s="33">
        <f>C30*'E Balans VL '!L18/100/3.6*1000000+C30*'E Balans VL '!N18/100/3.6*1000000</f>
        <v>78.706523771137384</v>
      </c>
      <c r="G8" s="34"/>
      <c r="H8" s="33"/>
      <c r="I8" s="33"/>
      <c r="J8" s="40">
        <f>C30*'E Balans VL '!D18/100/3.6*1000000+C30*'E Balans VL '!E18/100/3.6*1000000</f>
        <v>0.83698638410205384</v>
      </c>
      <c r="K8" s="33"/>
      <c r="L8" s="33"/>
      <c r="M8" s="33"/>
      <c r="N8" s="33">
        <f>C30*'E Balans VL '!Y18/100/3.6*1000000</f>
        <v>10.520641484257091</v>
      </c>
      <c r="O8" s="33"/>
      <c r="P8" s="33"/>
      <c r="R8" s="32"/>
    </row>
    <row r="9" spans="1:18">
      <c r="A9" s="6" t="s">
        <v>32</v>
      </c>
      <c r="B9" s="37">
        <f t="shared" si="0"/>
        <v>3349.6290759999997</v>
      </c>
      <c r="C9" s="33"/>
      <c r="D9" s="37">
        <f>IF( ISERROR(IND_andere_gas_kWh/1000),0,IND_andere_gas_kWh/1000)*0.902</f>
        <v>4876.7765428580005</v>
      </c>
      <c r="E9" s="33">
        <f>C31*'E Balans VL '!I19/100/3.6*1000000</f>
        <v>928.22700711175605</v>
      </c>
      <c r="F9" s="33">
        <f>C31*'E Balans VL '!L19/100/3.6*1000000+C31*'E Balans VL '!N19/100/3.6*1000000</f>
        <v>2776.1798167930201</v>
      </c>
      <c r="G9" s="34"/>
      <c r="H9" s="33"/>
      <c r="I9" s="33"/>
      <c r="J9" s="40">
        <f>C31*'E Balans VL '!D19/100/3.6*1000000+C31*'E Balans VL '!E19/100/3.6*1000000</f>
        <v>0</v>
      </c>
      <c r="K9" s="33"/>
      <c r="L9" s="33"/>
      <c r="M9" s="33"/>
      <c r="N9" s="33">
        <f>C31*'E Balans VL '!Y19/100/3.6*1000000</f>
        <v>243.14210051861622</v>
      </c>
      <c r="O9" s="33"/>
      <c r="P9" s="33"/>
      <c r="R9" s="32"/>
    </row>
    <row r="10" spans="1:18">
      <c r="A10" s="6" t="s">
        <v>40</v>
      </c>
      <c r="B10" s="37">
        <f t="shared" si="0"/>
        <v>1097.6469970000001</v>
      </c>
      <c r="C10" s="33"/>
      <c r="D10" s="37">
        <f>IF( ISERROR(IND_voed_gas_kWh/1000),0,IND_voed_gas_kWh/1000)*0.902</f>
        <v>946.55235881800002</v>
      </c>
      <c r="E10" s="33">
        <f>C32*'E Balans VL '!I20/100/3.6*1000000</f>
        <v>1.9432069815648465</v>
      </c>
      <c r="F10" s="33">
        <f>C32*'E Balans VL '!L20/100/3.6*1000000+C32*'E Balans VL '!N20/100/3.6*1000000</f>
        <v>59.28266619606962</v>
      </c>
      <c r="G10" s="34"/>
      <c r="H10" s="33"/>
      <c r="I10" s="33"/>
      <c r="J10" s="40">
        <f>C32*'E Balans VL '!D20/100/3.6*1000000+C32*'E Balans VL '!E20/100/3.6*1000000</f>
        <v>0</v>
      </c>
      <c r="K10" s="33"/>
      <c r="L10" s="33"/>
      <c r="M10" s="33"/>
      <c r="N10" s="33">
        <f>C32*'E Balans VL '!Y20/100/3.6*1000000</f>
        <v>63.781673360273672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39.555774</v>
      </c>
      <c r="C12" s="33"/>
      <c r="D12" s="37">
        <f>IF( ISERROR(IND_min_gas_kWh/1000),0,IND_min_gas_kWh/1000)*0.902</f>
        <v>53.23866933</v>
      </c>
      <c r="E12" s="33">
        <f>C34*'E Balans VL '!I22/100/3.6*1000000</f>
        <v>1.7418951901698219</v>
      </c>
      <c r="F12" s="33">
        <f>C34*'E Balans VL '!L22/100/3.6*1000000+C34*'E Balans VL '!N22/100/3.6*1000000</f>
        <v>15.467905116067667</v>
      </c>
      <c r="G12" s="34"/>
      <c r="H12" s="33"/>
      <c r="I12" s="33"/>
      <c r="J12" s="40">
        <f>C34*'E Balans VL '!D22/100/3.6*1000000+C34*'E Balans VL '!E22/100/3.6*1000000</f>
        <v>1.20105386388415E-2</v>
      </c>
      <c r="K12" s="33"/>
      <c r="L12" s="33"/>
      <c r="M12" s="33"/>
      <c r="N12" s="33">
        <f>C34*'E Balans VL '!Y22/100/3.6*1000000</f>
        <v>9.7848997467048093</v>
      </c>
      <c r="O12" s="33"/>
      <c r="P12" s="33"/>
      <c r="R12" s="32"/>
    </row>
    <row r="13" spans="1:18">
      <c r="A13" s="6" t="s">
        <v>38</v>
      </c>
      <c r="B13" s="37">
        <f t="shared" si="0"/>
        <v>1251.6238410000001</v>
      </c>
      <c r="C13" s="33"/>
      <c r="D13" s="37">
        <f>IF( ISERROR(IND_papier_gas_kWh/1000),0,IND_papier_gas_kWh/1000)*0.902</f>
        <v>135.52738247400001</v>
      </c>
      <c r="E13" s="33">
        <f>C35*'E Balans VL '!I23/100/3.6*1000000</f>
        <v>1.841568452925914</v>
      </c>
      <c r="F13" s="33">
        <f>C35*'E Balans VL '!L23/100/3.6*1000000+C35*'E Balans VL '!N23/100/3.6*1000000</f>
        <v>13.401520122779985</v>
      </c>
      <c r="G13" s="34"/>
      <c r="H13" s="33"/>
      <c r="I13" s="33"/>
      <c r="J13" s="40">
        <f>C35*'E Balans VL '!D23/100/3.6*1000000+C35*'E Balans VL '!E23/100/3.6*1000000</f>
        <v>136.93466694461563</v>
      </c>
      <c r="K13" s="33"/>
      <c r="L13" s="33"/>
      <c r="M13" s="33"/>
      <c r="N13" s="33">
        <f>C35*'E Balans VL '!Y23/100/3.6*1000000</f>
        <v>0</v>
      </c>
      <c r="O13" s="33"/>
      <c r="P13" s="33"/>
      <c r="R13" s="32"/>
    </row>
    <row r="14" spans="1:18">
      <c r="A14" s="6" t="s">
        <v>33</v>
      </c>
      <c r="B14" s="37">
        <f t="shared" si="0"/>
        <v>85.430914000000001</v>
      </c>
      <c r="C14" s="33"/>
      <c r="D14" s="37">
        <f>IF( ISERROR(IND_chemie_gas_kWh/1000),0,IND_chemie_gas_kWh/1000)*0.902</f>
        <v>208.695526226</v>
      </c>
      <c r="E14" s="33">
        <f>C36*'E Balans VL '!I24/100/3.6*1000000</f>
        <v>0.19322752005439192</v>
      </c>
      <c r="F14" s="33">
        <f>C36*'E Balans VL '!L24/100/3.6*1000000+C36*'E Balans VL '!N24/100/3.6*1000000</f>
        <v>1.0086803417658909</v>
      </c>
      <c r="G14" s="34"/>
      <c r="H14" s="33"/>
      <c r="I14" s="33"/>
      <c r="J14" s="40">
        <f>C36*'E Balans VL '!D24/100/3.6*1000000+C36*'E Balans VL '!E24/100/3.6*1000000</f>
        <v>0</v>
      </c>
      <c r="K14" s="33"/>
      <c r="L14" s="33"/>
      <c r="M14" s="33"/>
      <c r="N14" s="33">
        <f>C36*'E Balans VL '!Y24/100/3.6*1000000</f>
        <v>4.6925922358804419E-2</v>
      </c>
      <c r="O14" s="33"/>
      <c r="P14" s="33"/>
      <c r="R14" s="32"/>
    </row>
    <row r="15" spans="1:18">
      <c r="A15" s="6" t="s">
        <v>264</v>
      </c>
      <c r="B15" s="37">
        <f t="shared" si="0"/>
        <v>5440.8089199999995</v>
      </c>
      <c r="C15" s="33"/>
      <c r="D15" s="37">
        <f>IF( ISERROR(IND_rest_gas_kWh/1000),0,IND_rest_gas_kWh/1000)*0.902</f>
        <v>5271.9230603160004</v>
      </c>
      <c r="E15" s="33">
        <f>C37*'E Balans VL '!I15/100/3.6*1000000</f>
        <v>257.13578742945299</v>
      </c>
      <c r="F15" s="33">
        <f>C37*'E Balans VL '!L15/100/3.6*1000000+C37*'E Balans VL '!N15/100/3.6*1000000</f>
        <v>967.31873549973454</v>
      </c>
      <c r="G15" s="34"/>
      <c r="H15" s="33"/>
      <c r="I15" s="33"/>
      <c r="J15" s="40">
        <f>C37*'E Balans VL '!D15/100/3.6*1000000+C37*'E Balans VL '!E15/100/3.6*1000000</f>
        <v>44.947684122673579</v>
      </c>
      <c r="K15" s="33"/>
      <c r="L15" s="33"/>
      <c r="M15" s="33"/>
      <c r="N15" s="33">
        <f>C37*'E Balans VL '!Y15/100/3.6*1000000</f>
        <v>213.81173615640782</v>
      </c>
      <c r="O15" s="33"/>
      <c r="P15" s="33"/>
      <c r="R15" s="32"/>
    </row>
    <row r="16" spans="1:18">
      <c r="A16" s="16" t="s">
        <v>471</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12096.850570999999</v>
      </c>
      <c r="C18" s="21">
        <f>C5+C16</f>
        <v>0</v>
      </c>
      <c r="D18" s="21">
        <f>MAX((D5+D16),0)</f>
        <v>11602.109142734002</v>
      </c>
      <c r="E18" s="21">
        <f>MAX((E5+E16),0)</f>
        <v>1197.0861073034594</v>
      </c>
      <c r="F18" s="21">
        <f>MAX((F5+F16),0)</f>
        <v>3911.365847840575</v>
      </c>
      <c r="G18" s="21"/>
      <c r="H18" s="21"/>
      <c r="I18" s="21"/>
      <c r="J18" s="21">
        <f>MAX((J5+J16),0)</f>
        <v>182.73134799003009</v>
      </c>
      <c r="K18" s="21"/>
      <c r="L18" s="21">
        <f>MAX((L5+L16),0)</f>
        <v>0</v>
      </c>
      <c r="M18" s="21"/>
      <c r="N18" s="21">
        <f>MAX((N5+N16),0)</f>
        <v>541.08797718861842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0.20906054239114366</v>
      </c>
      <c r="C20" s="25">
        <f ca="1">'EF ele_warmte'!B22</f>
        <v>0.2376444566565942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2528.9741415978756</v>
      </c>
      <c r="C22" s="23">
        <f ca="1">C18*C20</f>
        <v>0</v>
      </c>
      <c r="D22" s="23">
        <f>D18*D20</f>
        <v>2343.6260468322685</v>
      </c>
      <c r="E22" s="23">
        <f>E18*E20</f>
        <v>271.7385463578853</v>
      </c>
      <c r="F22" s="23">
        <f>F18*F20</f>
        <v>1044.3346813734336</v>
      </c>
      <c r="G22" s="23"/>
      <c r="H22" s="23"/>
      <c r="I22" s="23"/>
      <c r="J22" s="23">
        <f>J18*J20</f>
        <v>64.686897188470653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832.15504899999996</v>
      </c>
      <c r="C30" s="39">
        <f>IF(ISERROR(B30*3.6/1000000/'E Balans VL '!Z18*100),0,B30*3.6/1000000/'E Balans VL '!Z18*100)</f>
        <v>4.8039012527580048E-2</v>
      </c>
      <c r="D30" s="235" t="s">
        <v>698</v>
      </c>
    </row>
    <row r="31" spans="1:18">
      <c r="A31" s="6" t="s">
        <v>32</v>
      </c>
      <c r="B31" s="37">
        <f>IF( ISERROR(IND_ander_ele_kWh/1000),0,IND_ander_ele_kWh/1000)</f>
        <v>3349.6290759999997</v>
      </c>
      <c r="C31" s="39">
        <f>IF(ISERROR(B31*3.6/1000000/'E Balans VL '!Z19*100),0,B31*3.6/1000000/'E Balans VL '!Z19*100)</f>
        <v>0.16847548512055932</v>
      </c>
      <c r="D31" s="235" t="s">
        <v>698</v>
      </c>
    </row>
    <row r="32" spans="1:18">
      <c r="A32" s="169" t="s">
        <v>40</v>
      </c>
      <c r="B32" s="37">
        <f>IF( ISERROR(IND_voed_ele_kWh/1000),0,IND_voed_ele_kWh/1000)</f>
        <v>1097.6469970000001</v>
      </c>
      <c r="C32" s="39">
        <f>IF(ISERROR(B32*3.6/1000000/'E Balans VL '!Z20*100),0,B32*3.6/1000000/'E Balans VL '!Z20*100)</f>
        <v>3.6558163100278353E-2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39.555774</v>
      </c>
      <c r="C34" s="39">
        <f>IF(ISERROR(B34*3.6/1000000/'E Balans VL '!Z22*100),0,B34*3.6/1000000/'E Balans VL '!Z22*100)</f>
        <v>7.3784879009943889E-3</v>
      </c>
      <c r="D34" s="235" t="s">
        <v>698</v>
      </c>
    </row>
    <row r="35" spans="1:5">
      <c r="A35" s="169" t="s">
        <v>38</v>
      </c>
      <c r="B35" s="37">
        <f>IF( ISERROR(IND_papier_ele_kWh/1000),0,IND_papier_ele_kWh/1000)</f>
        <v>1251.6238410000001</v>
      </c>
      <c r="C35" s="39">
        <f>IF(ISERROR(B35*3.6/1000000/'E Balans VL '!Z22*100),0,B35*3.6/1000000/'E Balans VL '!Z22*100)</f>
        <v>0.23347012164177663</v>
      </c>
      <c r="D35" s="235" t="s">
        <v>698</v>
      </c>
    </row>
    <row r="36" spans="1:5">
      <c r="A36" s="169" t="s">
        <v>33</v>
      </c>
      <c r="B36" s="37">
        <f>IF( ISERROR(IND_chemie_ele_kWh/1000),0,IND_chemie_ele_kWh/1000)</f>
        <v>85.430914000000001</v>
      </c>
      <c r="C36" s="39">
        <f>IF(ISERROR(B36*3.6/1000000/'E Balans VL '!Z24*100),0,B36*3.6/1000000/'E Balans VL '!Z24*100)</f>
        <v>2.253345611467198E-3</v>
      </c>
      <c r="D36" s="235" t="s">
        <v>698</v>
      </c>
    </row>
    <row r="37" spans="1:5">
      <c r="A37" s="169" t="s">
        <v>264</v>
      </c>
      <c r="B37" s="37">
        <f>IF( ISERROR(IND_rest_ele_kWh/1000),0,IND_rest_ele_kWh/1000)</f>
        <v>5440.8089199999995</v>
      </c>
      <c r="C37" s="39">
        <f>IF(ISERROR(B37*3.6/1000000/'E Balans VL '!Z15*100),0,B37*3.6/1000000/'E Balans VL '!Z15*100)</f>
        <v>4.2453188181788379E-2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2368.5612639999999</v>
      </c>
      <c r="C5" s="17">
        <f>'Eigen informatie GS &amp; warmtenet'!B62</f>
        <v>0</v>
      </c>
      <c r="D5" s="30">
        <f>IF(ISERROR(SUM(LB_lb_gas_kWh,LB_rest_gas_kWh)/1000),0,SUM(LB_lb_gas_kWh,LB_rest_gas_kWh)/1000)*0.902</f>
        <v>70435.958628860011</v>
      </c>
      <c r="E5" s="17">
        <f>B17*'E Balans VL '!I25/3.6*1000000/100</f>
        <v>73.922015994292266</v>
      </c>
      <c r="F5" s="17">
        <f>B17*('E Balans VL '!L25/3.6*1000000+'E Balans VL '!N25/3.6*1000000)/100</f>
        <v>8370.7578891148078</v>
      </c>
      <c r="G5" s="18"/>
      <c r="H5" s="17"/>
      <c r="I5" s="17"/>
      <c r="J5" s="17">
        <f>('E Balans VL '!D25+'E Balans VL '!E25)/3.6*1000000*landbouw!B17/100</f>
        <v>652.55505406041095</v>
      </c>
      <c r="K5" s="17"/>
      <c r="L5" s="17">
        <f>L6*(-1)</f>
        <v>0</v>
      </c>
      <c r="M5" s="17"/>
      <c r="N5" s="17">
        <f>N6*(-1)</f>
        <v>0</v>
      </c>
      <c r="O5" s="17"/>
      <c r="P5" s="17"/>
      <c r="R5" s="32"/>
    </row>
    <row r="6" spans="1:18">
      <c r="A6" s="16" t="s">
        <v>471</v>
      </c>
      <c r="B6" s="17" t="s">
        <v>210</v>
      </c>
      <c r="C6" s="17">
        <f>'lokale energieproductie'!O42+'lokale energieproductie'!O35</f>
        <v>43315.032818532818</v>
      </c>
      <c r="D6" s="304">
        <f>('lokale energieproductie'!P35+'lokale energieproductie'!P42)*(-1)</f>
        <v>-86628.687258687263</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2368.5612639999999</v>
      </c>
      <c r="C8" s="21">
        <f>C5+C6</f>
        <v>43315.032818532818</v>
      </c>
      <c r="D8" s="21">
        <f>MAX((D5+D6),0)</f>
        <v>0</v>
      </c>
      <c r="E8" s="21">
        <f>MAX((E5+E6),0)</f>
        <v>73.922015994292266</v>
      </c>
      <c r="F8" s="21">
        <f>MAX((F5+F6),0)</f>
        <v>8370.7578891148078</v>
      </c>
      <c r="G8" s="21"/>
      <c r="H8" s="21"/>
      <c r="I8" s="21"/>
      <c r="J8" s="21">
        <f>MAX((J5+J6),0)</f>
        <v>652.55505406041095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0.20906054239114366</v>
      </c>
      <c r="C10" s="31">
        <f ca="1">'EF ele_warmte'!B22</f>
        <v>0.2376444566565942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495.17270253849279</v>
      </c>
      <c r="C12" s="23">
        <f ca="1">C8*C10</f>
        <v>10293.577439222778</v>
      </c>
      <c r="D12" s="23">
        <f>D8*D10</f>
        <v>0</v>
      </c>
      <c r="E12" s="23">
        <f>E8*E10</f>
        <v>16.780297630704347</v>
      </c>
      <c r="F12" s="23">
        <f>F8*F10</f>
        <v>2234.9923563936536</v>
      </c>
      <c r="G12" s="23"/>
      <c r="H12" s="23"/>
      <c r="I12" s="23"/>
      <c r="J12" s="23">
        <f>J8*J10</f>
        <v>231.00448913738546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0.35210361134907137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179.79638425013576</v>
      </c>
      <c r="C26" s="245">
        <f>B26*'GWP N2O_CH4'!B5</f>
        <v>3775.7240692528508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33.958552813191162</v>
      </c>
      <c r="C27" s="245">
        <f>B27*'GWP N2O_CH4'!B5</f>
        <v>713.12960907701438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2.3550197861716287</v>
      </c>
      <c r="C28" s="245">
        <f>B28*'GWP N2O_CH4'!B4</f>
        <v>730.05613371320487</v>
      </c>
      <c r="D28" s="50"/>
    </row>
    <row r="29" spans="1:4">
      <c r="A29" s="41" t="s">
        <v>271</v>
      </c>
      <c r="B29" s="245">
        <f>B34*'ha_N2O bodem landbouw'!B4</f>
        <v>6.1683630074459392</v>
      </c>
      <c r="C29" s="245">
        <f>B29*'GWP N2O_CH4'!B4</f>
        <v>1912.1925323082412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1.3526109486540839E-3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1.4982940635490608E-3</v>
      </c>
      <c r="C5" s="433" t="s">
        <v>210</v>
      </c>
      <c r="D5" s="418">
        <f>SUM(D6:D11)</f>
        <v>2.2964452647300888E-3</v>
      </c>
      <c r="E5" s="418">
        <f>SUM(E6:E11)</f>
        <v>2.2255910240804983E-3</v>
      </c>
      <c r="F5" s="431" t="s">
        <v>210</v>
      </c>
      <c r="G5" s="418">
        <f>SUM(G6:G11)</f>
        <v>1.1854370634267088</v>
      </c>
      <c r="H5" s="418">
        <f>SUM(H6:H11)</f>
        <v>0.20923717448394663</v>
      </c>
      <c r="I5" s="433" t="s">
        <v>210</v>
      </c>
      <c r="J5" s="433" t="s">
        <v>210</v>
      </c>
      <c r="K5" s="433" t="s">
        <v>210</v>
      </c>
      <c r="L5" s="433" t="s">
        <v>210</v>
      </c>
      <c r="M5" s="418">
        <f>SUM(M6:M11)</f>
        <v>8.218428195004096E-2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4.6960258953082016E-4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7.9273483319684064E-4</v>
      </c>
      <c r="E6" s="884">
        <f>vkm_GW_PW*SUMIFS(TableVerdeelsleutelVkm[LPG],TableVerdeelsleutelVkm[Voertuigtype],"Lichte voertuigen")*SUMIFS(TableECFTransport[EnergieConsumptieFactor (PJ per km)],TableECFTransport[Index],CONCATENATE($A6,"_LPG_LPG"))</f>
        <v>6.9465167894275739E-4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0.21699569317439202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7.0712081441056271E-2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1.7189919103449216E-2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6.7984387723947009E-6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0.25947739656769636</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3.606818993838359E-6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1.4956894670950632E-2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1.4744654008247519E-4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3.1781920815977615E-4</v>
      </c>
      <c r="E8" s="421">
        <f>vkm_NGW_PW*SUMIFS(TableVerdeelsleutelVkm[LPG],TableVerdeelsleutelVkm[Voertuigtype],"Lichte voertuigen")*SUMIFS(TableECFTransport[EnergieConsumptieFactor (PJ per km)],TableECFTransport[Index],CONCATENATE($A8,"_LPG_LPG"))</f>
        <v>2.6678122336778418E-4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7.6996286532248118E-2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2.7938558139502585E-2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6.2880391524922736E-3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1.0848770000723881E-6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5.3231540886819376E-2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6.9472368553131956E-7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3.0683897094277574E-3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8.6731548854671395E-4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1.185891223373472E-3</v>
      </c>
      <c r="E10" s="421">
        <f>vkm_SW_PW*SUMIFS(TableVerdeelsleutelVkm[LPG],TableVerdeelsleutelVkm[Voertuigtype],"Lichte voertuigen")*SUMIFS(TableECFTransport[EnergieConsumptieFactor (PJ per km)],TableECFTransport[Index],CONCATENATE($A10,"_LPG_LPG"))</f>
        <v>1.2641581217699568E-3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0.35986747592025209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0.11057893177139512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2.8064911102292537E-2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6.0461296165844098E-6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0.21886867034530086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3.301589313280323E-6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1.2616128211428546E-2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416.19279543029467</v>
      </c>
      <c r="C14" s="21"/>
      <c r="D14" s="21">
        <f t="shared" ref="D14:M14" si="0">((D5)*10^9/3600)+D12</f>
        <v>637.90146242502465</v>
      </c>
      <c r="E14" s="21">
        <f t="shared" si="0"/>
        <v>618.21972891124949</v>
      </c>
      <c r="F14" s="21"/>
      <c r="G14" s="21">
        <f t="shared" si="0"/>
        <v>329288.07317408582</v>
      </c>
      <c r="H14" s="21">
        <f t="shared" si="0"/>
        <v>58121.437356651841</v>
      </c>
      <c r="I14" s="21"/>
      <c r="J14" s="21"/>
      <c r="K14" s="21"/>
      <c r="L14" s="21"/>
      <c r="M14" s="21">
        <f t="shared" si="0"/>
        <v>22828.967208344711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0.20906054239114366</v>
      </c>
      <c r="C16" s="56">
        <f ca="1">'EF ele_warmte'!B22</f>
        <v>0.2376444566565942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87.009491551943697</v>
      </c>
      <c r="C18" s="23"/>
      <c r="D18" s="23">
        <f t="shared" ref="D18:M18" si="1">D14*D16</f>
        <v>128.85609540985499</v>
      </c>
      <c r="E18" s="23">
        <f t="shared" si="1"/>
        <v>140.33587846285363</v>
      </c>
      <c r="F18" s="23"/>
      <c r="G18" s="23">
        <f t="shared" si="1"/>
        <v>87919.91553748092</v>
      </c>
      <c r="H18" s="23">
        <f t="shared" si="1"/>
        <v>14472.237901806307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9.0516701919999025E-5</v>
      </c>
      <c r="C50" s="315">
        <f t="shared" ref="C50:P50" si="2">SUM(C51:C52)</f>
        <v>0</v>
      </c>
      <c r="D50" s="315">
        <f t="shared" si="2"/>
        <v>0</v>
      </c>
      <c r="E50" s="315">
        <f t="shared" si="2"/>
        <v>0</v>
      </c>
      <c r="F50" s="315">
        <f t="shared" si="2"/>
        <v>0</v>
      </c>
      <c r="G50" s="315">
        <f t="shared" si="2"/>
        <v>6.5580713837766671E-3</v>
      </c>
      <c r="H50" s="315">
        <f t="shared" si="2"/>
        <v>0</v>
      </c>
      <c r="I50" s="315">
        <f t="shared" si="2"/>
        <v>0</v>
      </c>
      <c r="J50" s="315">
        <f t="shared" si="2"/>
        <v>0</v>
      </c>
      <c r="K50" s="315">
        <f t="shared" si="2"/>
        <v>0</v>
      </c>
      <c r="L50" s="315">
        <f t="shared" si="2"/>
        <v>0</v>
      </c>
      <c r="M50" s="315">
        <f t="shared" si="2"/>
        <v>3.7094404740985735E-4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9.0516701919999025E-5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6.5580713837766671E-3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3.7094404740985735E-4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25.143528311110842</v>
      </c>
      <c r="C54" s="21">
        <f t="shared" ref="C54:P54" si="3">(C50)*10^9/3600</f>
        <v>0</v>
      </c>
      <c r="D54" s="21">
        <f t="shared" si="3"/>
        <v>0</v>
      </c>
      <c r="E54" s="21">
        <f t="shared" si="3"/>
        <v>0</v>
      </c>
      <c r="F54" s="21">
        <f t="shared" si="3"/>
        <v>0</v>
      </c>
      <c r="G54" s="21">
        <f t="shared" si="3"/>
        <v>1821.6864954935188</v>
      </c>
      <c r="H54" s="21">
        <f t="shared" si="3"/>
        <v>0</v>
      </c>
      <c r="I54" s="21">
        <f t="shared" si="3"/>
        <v>0</v>
      </c>
      <c r="J54" s="21">
        <f t="shared" si="3"/>
        <v>0</v>
      </c>
      <c r="K54" s="21">
        <f t="shared" si="3"/>
        <v>0</v>
      </c>
      <c r="L54" s="21">
        <f t="shared" si="3"/>
        <v>0</v>
      </c>
      <c r="M54" s="21">
        <f t="shared" si="3"/>
        <v>103.04001316940482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0.20906054239114366</v>
      </c>
      <c r="C56" s="56">
        <f ca="1">'EF ele_warmte'!B22</f>
        <v>0.2376444566565942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5.2565196663479092</v>
      </c>
      <c r="C58" s="23">
        <f t="shared" ref="C58:P58" ca="1" si="4">C54*C56</f>
        <v>0</v>
      </c>
      <c r="D58" s="23">
        <f t="shared" si="4"/>
        <v>0</v>
      </c>
      <c r="E58" s="23">
        <f t="shared" si="4"/>
        <v>0</v>
      </c>
      <c r="F58" s="23">
        <f t="shared" si="4"/>
        <v>0</v>
      </c>
      <c r="G58" s="23">
        <f t="shared" si="4"/>
        <v>486.39029429676953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9048.2955163329243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43195</v>
      </c>
      <c r="C8" s="543">
        <f>B51</f>
        <v>50817.090620205876</v>
      </c>
      <c r="D8" s="544"/>
      <c r="E8" s="544">
        <f>E51</f>
        <v>0</v>
      </c>
      <c r="F8" s="545"/>
      <c r="G8" s="546"/>
      <c r="H8" s="544">
        <f>I51</f>
        <v>0</v>
      </c>
      <c r="I8" s="544">
        <f>G51+F51</f>
        <v>0</v>
      </c>
      <c r="J8" s="544">
        <f>H51+D51+C51</f>
        <v>0</v>
      </c>
      <c r="K8" s="544"/>
      <c r="L8" s="544"/>
      <c r="M8" s="544"/>
      <c r="N8" s="547"/>
      <c r="O8" s="548">
        <f>C8*$C$12+D8*$D$12+E8*$E$12+F8*$F$12+G8*$G$12+H8*$H$12+I8*$I$12+J8*$J$12</f>
        <v>10265.052305281588</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52243.295516332924</v>
      </c>
      <c r="C10" s="558">
        <f t="shared" ref="C10:L10" si="0">SUM(C8:C9)</f>
        <v>50817.090620205876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10265.052305281588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61707.175675675673</v>
      </c>
      <c r="C17" s="574">
        <f>B52</f>
        <v>72595.88235276709</v>
      </c>
      <c r="D17" s="575"/>
      <c r="E17" s="575">
        <f>E52</f>
        <v>0</v>
      </c>
      <c r="F17" s="576"/>
      <c r="G17" s="577"/>
      <c r="H17" s="574">
        <f>I52</f>
        <v>0</v>
      </c>
      <c r="I17" s="575">
        <f>G52+F52</f>
        <v>0</v>
      </c>
      <c r="J17" s="575">
        <f>H52+D52+C52</f>
        <v>0</v>
      </c>
      <c r="K17" s="575"/>
      <c r="L17" s="575"/>
      <c r="M17" s="575"/>
      <c r="N17" s="966"/>
      <c r="O17" s="578">
        <f>C17*$C$22+E17*$E$22+H17*$H$22+I17*$I$22+J17*$J$22+D17*$D$22+F17*$F$22+G17*$G$22+K17*$K$22+L17*$L$22</f>
        <v>14664.368235258953</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61707.175675675673</v>
      </c>
      <c r="C20" s="557">
        <f>SUM(C17:C19)</f>
        <v>72595.88235276709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14664.368235258953</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11024</v>
      </c>
      <c r="C28" s="785">
        <v>2550</v>
      </c>
      <c r="D28" s="635" t="s">
        <v>906</v>
      </c>
      <c r="E28" s="634" t="s">
        <v>907</v>
      </c>
      <c r="F28" s="634" t="s">
        <v>908</v>
      </c>
      <c r="G28" s="634" t="s">
        <v>909</v>
      </c>
      <c r="H28" s="634" t="s">
        <v>910</v>
      </c>
      <c r="I28" s="634" t="s">
        <v>907</v>
      </c>
      <c r="J28" s="784">
        <v>39444</v>
      </c>
      <c r="K28" s="784">
        <v>39444</v>
      </c>
      <c r="L28" s="634" t="s">
        <v>911</v>
      </c>
      <c r="M28" s="634">
        <v>4008</v>
      </c>
      <c r="N28" s="634">
        <v>18036</v>
      </c>
      <c r="O28" s="634">
        <v>25765.714285714286</v>
      </c>
      <c r="P28" s="634">
        <v>51531.428571428572</v>
      </c>
      <c r="Q28" s="634">
        <v>0</v>
      </c>
      <c r="R28" s="634">
        <v>0</v>
      </c>
      <c r="S28" s="634">
        <v>0</v>
      </c>
      <c r="T28" s="634">
        <v>0</v>
      </c>
      <c r="U28" s="634">
        <v>0</v>
      </c>
      <c r="V28" s="634">
        <v>0</v>
      </c>
      <c r="W28" s="634">
        <v>0</v>
      </c>
      <c r="X28" s="634">
        <v>10</v>
      </c>
      <c r="Y28" s="634" t="s">
        <v>111</v>
      </c>
      <c r="Z28" s="636" t="s">
        <v>111</v>
      </c>
    </row>
    <row r="29" spans="1:26" s="588" customFormat="1" ht="63.75">
      <c r="A29" s="587"/>
      <c r="B29" s="785">
        <v>11024</v>
      </c>
      <c r="C29" s="785">
        <v>2550</v>
      </c>
      <c r="D29" s="635" t="s">
        <v>912</v>
      </c>
      <c r="E29" s="634" t="s">
        <v>913</v>
      </c>
      <c r="F29" s="634" t="s">
        <v>914</v>
      </c>
      <c r="G29" s="634" t="s">
        <v>909</v>
      </c>
      <c r="H29" s="634" t="s">
        <v>910</v>
      </c>
      <c r="I29" s="634" t="s">
        <v>915</v>
      </c>
      <c r="J29" s="784">
        <v>41991</v>
      </c>
      <c r="K29" s="784">
        <v>39583</v>
      </c>
      <c r="L29" s="634" t="s">
        <v>911</v>
      </c>
      <c r="M29" s="634">
        <v>2861</v>
      </c>
      <c r="N29" s="634">
        <v>12874.500000000002</v>
      </c>
      <c r="O29" s="634">
        <v>18392.142857142859</v>
      </c>
      <c r="P29" s="634">
        <v>36784.285714285725</v>
      </c>
      <c r="Q29" s="634">
        <v>0</v>
      </c>
      <c r="R29" s="634">
        <v>0</v>
      </c>
      <c r="S29" s="634">
        <v>0</v>
      </c>
      <c r="T29" s="634">
        <v>0</v>
      </c>
      <c r="U29" s="634">
        <v>0</v>
      </c>
      <c r="V29" s="634">
        <v>0</v>
      </c>
      <c r="W29" s="634">
        <v>0</v>
      </c>
      <c r="X29" s="634">
        <v>1600</v>
      </c>
      <c r="Y29" s="634" t="s">
        <v>49</v>
      </c>
      <c r="Z29" s="636" t="s">
        <v>155</v>
      </c>
    </row>
    <row r="30" spans="1:26" s="588" customFormat="1" ht="25.5">
      <c r="A30" s="587"/>
      <c r="B30" s="785">
        <v>11024</v>
      </c>
      <c r="C30" s="785">
        <v>2550</v>
      </c>
      <c r="D30" s="635" t="s">
        <v>916</v>
      </c>
      <c r="E30" s="634" t="s">
        <v>917</v>
      </c>
      <c r="F30" s="634" t="s">
        <v>918</v>
      </c>
      <c r="G30" s="634" t="s">
        <v>909</v>
      </c>
      <c r="H30" s="634" t="s">
        <v>910</v>
      </c>
      <c r="I30" s="634" t="s">
        <v>917</v>
      </c>
      <c r="J30" s="784">
        <v>40849</v>
      </c>
      <c r="K30" s="784">
        <v>39645</v>
      </c>
      <c r="L30" s="634" t="s">
        <v>911</v>
      </c>
      <c r="M30" s="634">
        <v>2728</v>
      </c>
      <c r="N30" s="634">
        <v>12276.000000000002</v>
      </c>
      <c r="O30" s="634">
        <v>17537.142857142859</v>
      </c>
      <c r="P30" s="634">
        <v>35074.285714285725</v>
      </c>
      <c r="Q30" s="634">
        <v>0</v>
      </c>
      <c r="R30" s="634">
        <v>0</v>
      </c>
      <c r="S30" s="634">
        <v>0</v>
      </c>
      <c r="T30" s="634">
        <v>0</v>
      </c>
      <c r="U30" s="634">
        <v>0</v>
      </c>
      <c r="V30" s="634">
        <v>0</v>
      </c>
      <c r="W30" s="634">
        <v>0</v>
      </c>
      <c r="X30" s="634">
        <v>10</v>
      </c>
      <c r="Y30" s="634" t="s">
        <v>111</v>
      </c>
      <c r="Z30" s="636" t="s">
        <v>111</v>
      </c>
    </row>
    <row r="31" spans="1:26" s="588" customFormat="1" ht="25.5">
      <c r="A31" s="587"/>
      <c r="B31" s="785">
        <v>11024</v>
      </c>
      <c r="C31" s="785">
        <v>2550</v>
      </c>
      <c r="D31" s="635"/>
      <c r="E31" s="634"/>
      <c r="F31" s="634" t="s">
        <v>919</v>
      </c>
      <c r="G31" s="634" t="s">
        <v>920</v>
      </c>
      <c r="H31" s="634" t="s">
        <v>920</v>
      </c>
      <c r="I31" s="634" t="s">
        <v>921</v>
      </c>
      <c r="J31" s="784">
        <v>42311</v>
      </c>
      <c r="K31" s="784">
        <v>42280</v>
      </c>
      <c r="L31" s="634" t="s">
        <v>911</v>
      </c>
      <c r="M31" s="634">
        <v>1.7</v>
      </c>
      <c r="N31" s="634">
        <v>8.5</v>
      </c>
      <c r="O31" s="634">
        <v>12.175675675675675</v>
      </c>
      <c r="P31" s="634">
        <v>22.972972972972972</v>
      </c>
      <c r="Q31" s="634">
        <v>0</v>
      </c>
      <c r="R31" s="634">
        <v>0</v>
      </c>
      <c r="S31" s="634">
        <v>0</v>
      </c>
      <c r="T31" s="634">
        <v>0</v>
      </c>
      <c r="U31" s="634">
        <v>0</v>
      </c>
      <c r="V31" s="634">
        <v>0</v>
      </c>
      <c r="W31" s="634">
        <v>0</v>
      </c>
      <c r="X31" s="634">
        <v>10</v>
      </c>
      <c r="Y31" s="634" t="s">
        <v>111</v>
      </c>
      <c r="Z31" s="636" t="s">
        <v>111</v>
      </c>
    </row>
    <row r="32" spans="1:26" s="568" customFormat="1">
      <c r="A32" s="590" t="s">
        <v>274</v>
      </c>
      <c r="B32" s="591"/>
      <c r="C32" s="591"/>
      <c r="D32" s="591"/>
      <c r="E32" s="591"/>
      <c r="F32" s="591"/>
      <c r="G32" s="591"/>
      <c r="H32" s="591"/>
      <c r="I32" s="591"/>
      <c r="J32" s="591"/>
      <c r="K32" s="591"/>
      <c r="L32" s="592"/>
      <c r="M32" s="592">
        <f>SUM(M28:M31)</f>
        <v>9598.7000000000007</v>
      </c>
      <c r="N32" s="592">
        <f>SUM(N28:N31)</f>
        <v>43195</v>
      </c>
      <c r="O32" s="592">
        <f>SUM(O28:O31)</f>
        <v>61707.175675675673</v>
      </c>
      <c r="P32" s="592">
        <f>SUM(P28:P31)</f>
        <v>123412.97297297299</v>
      </c>
      <c r="Q32" s="592">
        <f>SUM(Q28:Q31)</f>
        <v>0</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2861</v>
      </c>
      <c r="N34" s="592">
        <f ca="1">SUMIF($Z$28:AD31,"tertiair",N28:N31)</f>
        <v>12874.500000000002</v>
      </c>
      <c r="O34" s="592">
        <f ca="1">SUMIF($Z$28:AE31,"tertiair",O28:O31)</f>
        <v>18392.142857142859</v>
      </c>
      <c r="P34" s="592">
        <f ca="1">SUMIF($Z$28:AF31,"tertiair",P28:P31)</f>
        <v>36784.285714285725</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6737.7</v>
      </c>
      <c r="N35" s="597">
        <f>SUMIF($Z$28:$Z$31,"landbouw",N28:N31)</f>
        <v>30320.5</v>
      </c>
      <c r="O35" s="597">
        <f>SUMIF($Z$28:$Z$31,"landbouw",O28:O31)</f>
        <v>43315.032818532818</v>
      </c>
      <c r="P35" s="597">
        <f>SUMIF($Z$28:$Z$31,"landbouw",P28:P31)</f>
        <v>86628.687258687263</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0.5882354229377923</v>
      </c>
      <c r="C48" s="617">
        <f>IF(ISERROR(N32/(O32+N32)),0,N32/(N32+O32))</f>
        <v>0.41176457706220759</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50817.090620205876</v>
      </c>
      <c r="C51" s="626">
        <f t="shared" si="2"/>
        <v>0</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72595.88235276709</v>
      </c>
      <c r="C52" s="629">
        <f t="shared" si="3"/>
        <v>0</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2021-06-29T14:39:19Z</dcterms:modified>
</cp:coreProperties>
</file>