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N6" i="17" s="1"/>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F13" i="15"/>
  <c r="B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<sst xmlns="http://schemas.openxmlformats.org/spreadsheetml/2006/main" count="2484" uniqueCount="908">
  <si>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</si>
  <si>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</si>
  <si>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</si>
  <si>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</si>
  <si>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</si>
  <si>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</si>
  <si>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</si>
  <si>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</si>
  <si>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</si>
  <si>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</si>
  <si>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</si>
  <si>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</si>
  <si>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</si>
  <si>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</si>
  <si>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</si>
  <si>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</si>
  <si>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</si>
  <si>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</si>
  <si>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</si>
  <si>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</si>
  <si>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</si>
  <si>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</si>
  <si>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</si>
  <si>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</si>
  <si>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</si>
  <si>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</si>
  <si>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</si>
  <si>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</si>
  <si>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</si>
  <si>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</si>
  <si>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</si>
  <si>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</si>
  <si>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</si>
  <si>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</si>
  <si>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</si>
  <si>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</si>
  <si>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</si>
  <si>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</si>
  <si>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</si>
  <si>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</si>
  <si>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</si>
  <si>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</si>
  <si>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</si>
  <si>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</si>
  <si>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</si>
  <si>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</si>
  <si>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</si>
  <si>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</si>
  <si>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</si>
  <si>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</si>
  <si>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</si>
  <si>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</si>
  <si>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</si>
  <si>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</si>
  <si>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</si>
  <si>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</si>
  <si>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</si>
  <si>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</si>
  <si>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</si>
  <si>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</si>
  <si>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</si>
  <si>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</si>
  <si>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</si>
  <si>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</si>
  <si>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</si>
  <si>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</si>
  <si>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</si>
  <si>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</si>
  <si>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</si>
  <si>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</si>
  <si>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</si>
  <si>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</si>
  <si>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</si>
  <si>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</si>
  <si>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</si>
  <si>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</si>
  <si>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</si>
  <si>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</si>
  <si>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</si>
  <si>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</si>
  <si>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</si>
  <si>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</si>
  <si>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</si>
  <si>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</si>
  <si>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</si>
  <si>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</si>
  <si>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</si>
  <si>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</si>
  <si>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</si>
  <si>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</si>
  <si>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</si>
  <si>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</si>
  <si>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</si>
  <si>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</si>
  <si>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</si>
  <si>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</si>
  <si>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</si>
  <si>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</si>
  <si>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</si>
  <si>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</si>
  <si>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</si>
  <si>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</si>
  <si>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</si>
  <si>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</si>
  <si>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</si>
  <si>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</si>
  <si>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</si>
  <si>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</si>
  <si>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</si>
  <si>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</si>
  <si>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</si>
  <si>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</si>
  <si>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</si>
  <si>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</si>
  <si>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</si>
  <si>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</si>
  <si>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</si>
  <si>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</si>
  <si>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</si>
  <si>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</si>
  <si>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</si>
  <si>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</si>
  <si>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</si>
  <si>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</si>
  <si>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</si>
  <si>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</si>
  <si>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</si>
  <si>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</si>
  <si>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</si>
  <si>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</si>
  <si>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</si>
  <si>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</si>
  <si>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</si>
  <si>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</si>
  <si>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</si>
  <si>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</si>
  <si>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</si>
  <si>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</si>
  <si>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</si>
  <si>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</si>
  <si>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</si>
  <si>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</si>
  <si>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</si>
  <si>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</si>
  <si>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</si>
  <si>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</si>
  <si>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</si>
  <si>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</si>
  <si>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</si>
  <si>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</si>
  <si>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</si>
  <si>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</si>
  <si>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</si>
  <si>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</si>
  <si>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</si>
  <si>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</si>
  <si>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</si>
  <si>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</si>
  <si>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</si>
  <si>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</si>
  <si>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</si>
  <si>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</si>
  <si>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</si>
  <si>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</si>
  <si>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</si>
  <si>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</si>
  <si>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</si>
  <si>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</si>
  <si>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</si>
  <si>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</si>
  <si>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</si>
  <si>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</si>
  <si>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</si>
  <si>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</si>
  <si>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</si>
  <si>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</si>
  <si>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</si>
  <si>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</si>
  <si>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</si>
  <si>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</si>
  <si>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</si>
  <si>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</si>
  <si>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</si>
  <si>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</si>
  <si>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</si>
  <si>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</si>
  <si>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</si>
  <si>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</si>
  <si>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</si>
  <si>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</si>
  <si>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</si>
  <si>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</si>
  <si>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</si>
  <si>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</si>
  <si>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</si>
  <si>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</si>
  <si>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</si>
  <si>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</si>
  <si>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</si>
  <si>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</si>
  <si>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</si>
  <si>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</si>
  <si>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</si>
  <si>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</si>
  <si>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</si>
  <si>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</si>
  <si>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</si>
  <si>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</si>
  <si>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</si>
  <si>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</si>
  <si>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</si>
  <si>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</si>
  <si>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</si>
  <si>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</si>
  <si>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</si>
  <si>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</si>
  <si>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</si>
  <si>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</si>
  <si>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</si>
  <si>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</si>
  <si>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</si>
  <si>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</si>
  <si>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</si>
  <si>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</si>
  <si>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</si>
  <si>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</si>
  <si>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</si>
  <si>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</si>
  <si>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</si>
  <si>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</si>
  <si>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</si>
  <si>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</si>
  <si>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</si>
  <si>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</si>
  <si>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</si>
  <si>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</si>
  <si>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</si>
  <si>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</si>
  <si>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</si>
  <si>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</si>
  <si>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</si>
  <si>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</si>
  <si>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</si>
  <si>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</si>
  <si>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</si>
  <si>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</si>
  <si>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</si>
  <si>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</si>
  <si>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</si>
  <si>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</si>
  <si>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</si>
  <si>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</si>
  <si>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</si>
  <si>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</si>
  <si>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</si>
  <si>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</si>
  <si>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</si>
  <si>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</si>
  <si>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</si>
  <si>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</si>
  <si>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</si>
  <si>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</si>
  <si>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</si>
  <si>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</si>
  <si>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</si>
  <si>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</si>
  <si>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</si>
  <si>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</si>
  <si>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</si>
  <si>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</si>
  <si>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</si>
  <si>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</si>
  <si>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</si>
  <si>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</si>
  <si>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</si>
  <si>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</si>
  <si>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</si>
  <si>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</si>
  <si>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</si>
  <si>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</si>
  <si>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</si>
  <si>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</si>
  <si>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</si>
  <si>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</si>
  <si>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</si>
  <si>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</si>
  <si>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</si>
  <si>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</si>
  <si>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</si>
  <si>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</si>
  <si>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</si>
  <si>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</si>
  <si>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</si>
  <si>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</si>
  <si>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</si>
  <si>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</si>
  <si>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</si>
  <si>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</si>
  <si>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</si>
  <si>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</si>
  <si>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</si>
  <si>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</si>
  <si>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</si>
  <si>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</si>
  <si>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</si>
  <si>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</si>
  <si>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</si>
  <si>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</si>
  <si>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</si>
  <si>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</si>
  <si>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</si>
  <si>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</si>
  <si>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</si>
  <si>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</si>
  <si>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</si>
  <si>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</si>
  <si>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</si>
  <si>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</si>
  <si>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</si>
  <si>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</si>
  <si>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</si>
  <si>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</si>
  <si>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</si>
  <si>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</si>
  <si>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</si>
  <si>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</si>
  <si>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</si>
  <si>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</si>
  <si>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</si>
  <si>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</si>
  <si>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</si>
  <si>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</si>
  <si>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</si>
  <si>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</si>
  <si>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</si>
  <si>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</si>
  <si>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</si>
  <si>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</si>
  <si>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</si>
  <si>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</si>
  <si>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</si>
  <si>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</si>
  <si>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</si>
  <si>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</si>
  <si>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</si>
  <si>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</si>
  <si>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</si>
  <si>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</si>
  <si>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</si>
  <si>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</si>
  <si>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</si>
  <si>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</si>
  <si>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</si>
  <si>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</si>
  <si>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</si>
  <si>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</si>
  <si>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</si>
  <si>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</si>
  <si>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</si>
  <si>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</si>
  <si>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</si>
  <si>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</si>
  <si>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</si>
  <si>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</si>
  <si>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</si>
  <si>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</si>
  <si>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</si>
  <si>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</si>
  <si>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</si>
  <si>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</si>
  <si>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</si>
  <si>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</si>
  <si>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</si>
  <si>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</si>
  <si>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</si>
  <si>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</si>
  <si>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</si>
  <si>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</si>
  <si>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</si>
  <si>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</si>
  <si>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</si>
  <si>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</si>
  <si>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</si>
  <si>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</si>
  <si>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</si>
  <si>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</si>
  <si>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</si>
  <si>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</si>
  <si>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</si>
  <si>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</si>
  <si>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</si>
  <si>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</si>
  <si>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</si>
  <si>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</si>
  <si>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</si>
  <si>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</si>
  <si>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</si>
  <si>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</si>
  <si>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</si>
  <si>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</si>
  <si>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</si>
  <si>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</si>
  <si>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</si>
  <si>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</si>
  <si>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</si>
  <si>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</si>
  <si>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</si>
  <si>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</si>
  <si>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</si>
  <si>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</si>
  <si>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</si>
  <si>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</si>
  <si>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</si>
  <si>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</si>
  <si>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</si>
  <si>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</si>
  <si>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</si>
  <si>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</si>
  <si>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</si>
  <si>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</si>
  <si>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</si>
  <si>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</si>
  <si>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</si>
  <si>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</si>
  <si>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</si>
  <si>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</si>
  <si>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</si>
  <si>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</si>
  <si>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</si>
  <si>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</si>
  <si>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</si>
  <si>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</si>
  <si>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</si>
  <si>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</si>
  <si>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</si>
  <si>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</si>
  <si>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</si>
  <si>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</si>
  <si>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</si>
  <si>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</si>
  <si>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</si>
  <si>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</si>
  <si>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</si>
  <si>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</si>
  <si>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</si>
  <si>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</si>
  <si>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</si>
  <si>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</si>
  <si>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</si>
  <si>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</si>
  <si>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</si>
  <si>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</si>
  <si>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</si>
  <si>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</si>
  <si>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</si>
  <si>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</si>
  <si>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</si>
  <si>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</si>
  <si>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</si>
  <si>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</si>
  <si>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</si>
  <si>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</si>
  <si>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</si>
  <si>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</si>
  <si>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</si>
  <si>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</si>
  <si>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</si>
  <si>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</si>
  <si>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</si>
  <si>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</si>
  <si>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</si>
  <si>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</si>
  <si>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</si>
  <si>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</si>
  <si>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</si>
  <si>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</si>
  <si>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</si>
  <si>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</si>
  <si>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</si>
  <si>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</si>
  <si>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</si>
  <si>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</si>
  <si>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</si>
  <si>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</si>
  <si>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</si>
  <si>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</si>
  <si>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</si>
  <si>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</si>
  <si>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</si>
  <si>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</si>
  <si>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</si>
  <si>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</si>
  <si>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</si>
  <si>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</si>
  <si>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</si>
  <si>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</si>
  <si>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</si>
  <si>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</si>
  <si>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</si>
  <si>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</si>
  <si>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</si>
  <si>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</si>
  <si>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</si>
  <si>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</si>
  <si>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</si>
  <si>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</si>
  <si>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</si>
  <si>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</si>
  <si>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</si>
  <si>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</si>
  <si>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</si>
  <si>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</si>
  <si>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</si>
  <si>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</si>
  <si>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</si>
  <si>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</si>
  <si>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</si>
  <si>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</si>
  <si>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</si>
  <si>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</si>
  <si>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</si>
  <si>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</si>
  <si>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</si>
  <si>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</si>
  <si>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</si>
  <si>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</si>
  <si>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</si>
  <si>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</si>
  <si>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</si>
  <si>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</si>
  <si>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</si>
  <si>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</si>
  <si>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</si>
  <si>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</si>
  <si>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</si>
  <si>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</si>
  <si>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</si>
  <si>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</si>
  <si>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</si>
  <si>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</si>
  <si>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</si>
  <si>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</si>
  <si>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</si>
  <si>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</si>
  <si>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</si>
  <si>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</si>
  <si>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</si>
  <si>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</si>
  <si>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</si>
  <si>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</si>
  <si>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</si>
  <si>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</si>
  <si>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</si>
  <si>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</si>
  <si>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</si>
  <si>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</si>
  <si>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</si>
  <si>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</si>
  <si>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</si>
  <si>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</si>
  <si>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</si>
  <si>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</si>
  <si>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</si>
  <si>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</si>
  <si>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</si>
  <si>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</si>
  <si>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</si>
  <si>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</si>
  <si>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</si>
  <si>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</si>
  <si>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</si>
  <si>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</si>
  <si>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</si>
  <si>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</si>
  <si>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</si>
  <si>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</si>
  <si>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</si>
  <si>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</si>
  <si>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</si>
  <si>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</si>
  <si>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</si>
  <si>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</si>
  <si>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</si>
  <si>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</si>
  <si>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</si>
  <si>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</si>
  <si>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</si>
  <si>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</si>
  <si>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</si>
  <si>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</si>
  <si>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</si>
  <si>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</si>
  <si>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</si>
  <si>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</si>
  <si>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</si>
  <si>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</si>
  <si>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</si>
  <si>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</si>
  <si>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</si>
  <si>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</si>
  <si>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</si>
  <si>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</si>
  <si>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</si>
  <si>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</si>
  <si>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</si>
  <si>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</si>
  <si>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</si>
  <si>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</si>
  <si>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</si>
  <si>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</si>
  <si>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</si>
  <si>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</si>
  <si>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</si>
  <si>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</si>
  <si>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</si>
  <si>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</si>
  <si>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</si>
  <si>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</si>
  <si>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</si>
  <si>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</si>
  <si>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</si>
  <si>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</si>
  <si>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</si>
  <si>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</si>
  <si>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</si>
  <si>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</si>
  <si>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</si>
  <si>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</si>
  <si>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</si>
  <si>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</si>
  <si>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</si>
  <si>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</si>
  <si>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</si>
  <si>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</si>
  <si>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</si>
  <si>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</si>
  <si>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</si>
  <si>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</si>
  <si>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</si>
  <si>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</si>
  <si>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</si>
  <si>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</si>
  <si>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</si>
  <si>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</si>
  <si>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</si>
  <si>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</si>
  <si>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</si>
  <si>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</si>
  <si>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</si>
  <si>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</si>
  <si>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</si>
  <si>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</si>
  <si>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</si>
  <si>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</si>
  <si>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</si>
  <si>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</si>
  <si>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</si>
  <si>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</si>
  <si>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</si>
  <si>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</si>
  <si>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</si>
  <si>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</si>
  <si>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</si>
  <si>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</si>
  <si>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</si>
  <si>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</si>
  <si>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</si>
  <si>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</si>
  <si>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</si>
  <si>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</si>
  <si>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</si>
  <si>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</si>
  <si>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</si>
  <si>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</si>
  <si>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</si>
  <si>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</si>
  <si>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</si>
  <si>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</si>
  <si>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</si>
  <si>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</si>
  <si>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</si>
  <si>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</si>
  <si>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</si>
  <si>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</si>
  <si>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</si>
  <si>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</si>
  <si>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</si>
  <si>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</si>
  <si>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</si>
  <si>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</si>
  <si>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</si>
  <si>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</si>
  <si>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</si>
  <si>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</si>
  <si>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</si>
  <si>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</si>
  <si>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</si>
  <si>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</si>
  <si>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</si>
  <si>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</si>
  <si>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</si>
  <si>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</si>
  <si>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</si>
  <si>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</si>
  <si>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</si>
  <si>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</si>
  <si>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</si>
  <si>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</si>
  <si>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</si>
  <si>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</si>
  <si>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</si>
  <si>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</si>
  <si>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</si>
  <si>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</si>
  <si>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</si>
  <si>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</si>
  <si>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</si>
  <si>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</si>
  <si>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</si>
  <si>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</si>
  <si>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</si>
  <si>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</si>
  <si>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</si>
  <si>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</si>
  <si>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</si>
  <si>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</si>
  <si>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</si>
  <si>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</si>
  <si>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</si>
  <si>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</si>
  <si>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</si>
  <si>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</si>
  <si>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</si>
  <si>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</si>
  <si>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</si>
  <si>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</si>
  <si>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</si>
  <si>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</si>
  <si>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</si>
  <si>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</si>
  <si>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</si>
  <si>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</si>
  <si>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</si>
  <si>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</si>
  <si>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</si>
  <si>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</si>
  <si>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</si>
  <si>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</si>
  <si>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</si>
  <si>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</si>
  <si>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</si>
  <si>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</si>
  <si>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</si>
  <si>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</si>
  <si>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</si>
  <si>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</si>
  <si>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</si>
  <si>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</si>
  <si>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</si>
  <si>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</si>
  <si>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</si>
  <si>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</si>
  <si>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</si>
  <si>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</si>
  <si>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</si>
  <si>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</si>
  <si>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</si>
  <si>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</si>
  <si>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</si>
  <si>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</si>
  <si>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</si>
  <si>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</si>
  <si>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</si>
  <si>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</si>
  <si>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</si>
  <si>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</si>
  <si>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</si>
  <si>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</si>
  <si>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</si>
  <si>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</si>
  <si>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</si>
  <si>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</si>
  <si>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</si>
  <si>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</si>
  <si>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</si>
  <si>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</si>
  <si>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</si>
  <si>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</si>
  <si>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</si>
  <si>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</si>
  <si>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</si>
  <si>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</si>
  <si>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</si>
  <si>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</si>
  <si>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</si>
  <si>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</si>
  <si>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</si>
  <si>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</si>
  <si>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</si>
  <si>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</si>
  <si>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</si>
  <si>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</si>
  <si>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</si>
  <si>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</si>
  <si>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</si>
  <si>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</si>
  <si>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</si>
  <si>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</si>
  <si>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</si>
  <si>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</si>
  <si>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</si>
  <si>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</si>
  <si>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</si>
  <si>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</si>
  <si>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</si>
  <si>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</si>
  <si>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</si>
  <si>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</si>
  <si>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</si>
  <si>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</si>
  <si>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</si>
  <si>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</si>
  <si>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</si>
  <si>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</si>
  <si>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</si>
  <si>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</si>
  <si>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</si>
  <si>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</si>
  <si>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</si>
  <si>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</si>
  <si>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</si>
  <si>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</si>
  <si>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</si>
  <si>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</si>
  <si>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</si>
  <si>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</si>
  <si>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</si>
  <si>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</si>
  <si>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</si>
  <si>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</si>
  <si>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</si>
  <si>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</si>
  <si>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</si>
  <si>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</si>
  <si>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</si>
  <si>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</si>
  <si>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</si>
  <si>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</si>
  <si>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</si>
  <si>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</si>
  <si>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</si>
  <si>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</si>
  <si>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</si>
  <si>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</si>
  <si>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</si>
  <si>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</si>
  <si>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</si>
  <si>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</si>
  <si>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</si>
  <si>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</si>
  <si>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</si>
  <si>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</si>
  <si>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</si>
  <si>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</si>
  <si>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</si>
  <si>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</si>
  <si>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</si>
  <si>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</si>
  <si>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</si>
  <si>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</si>
  <si>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</si>
  <si>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</si>
  <si>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</si>
  <si>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</si>
  <si>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</si>
  <si>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</si>
  <si>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</si>
  <si>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</si>
  <si>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</si>
  <si>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</si>
  <si>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</si>
  <si>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</si>
  <si>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</si>
  <si>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</si>
  <si>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</si>
  <si>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</si>
  <si>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</si>
  <si>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</si>
  <si>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</si>
  <si>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</si>
  <si>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</si>
  <si>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</si>
  <si>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</si>
  <si>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</si>
  <si>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</si>
  <si>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</si>
  <si>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</si>
  <si>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</si>
  <si>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73009</t>
  </si>
  <si>
    <t>BORGLOON</t>
  </si>
  <si>
    <t>Fluvius</t>
  </si>
  <si>
    <t>referentietaak LNE (2017); Jaarverslag De Lijn</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</si>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</sst>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91448.867375088914</c:v>
                </c:pt>
                <c:pt idx="1">
                  <c:v>40545.452893667039</c:v>
                </c:pt>
                <c:pt idx="2">
                  <c:v>550.84900000000005</c:v>
                </c:pt>
                <c:pt idx="3">
                  <c:v>21749.826727711064</c:v>
                </c:pt>
                <c:pt idx="4">
                  <c:v>25897.401848608555</c:v>
                </c:pt>
                <c:pt idx="5">
                  <c:v>70448.513120707124</c:v>
                </c:pt>
                <c:pt idx="6">
                  <c:v>1230.9584977754357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91448.867375088914</c:v>
                </c:pt>
                <c:pt idx="1">
                  <c:v>40545.452893667039</c:v>
                </c:pt>
                <c:pt idx="2">
                  <c:v>550.84900000000005</c:v>
                </c:pt>
                <c:pt idx="3">
                  <c:v>21749.826727711064</c:v>
                </c:pt>
                <c:pt idx="4">
                  <c:v>25897.401848608555</c:v>
                </c:pt>
                <c:pt idx="5">
                  <c:v>70448.513120707124</c:v>
                </c:pt>
                <c:pt idx="6">
                  <c:v>1230.9584977754357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19234.322853763879</c:v>
                </c:pt>
                <c:pt idx="2">
                  <c:v>7924.2360858947422</c:v>
                </c:pt>
                <c:pt idx="3">
                  <c:v>106.20508978051416</c:v>
                </c:pt>
                <c:pt idx="4">
                  <c:v>5486.5161262581769</c:v>
                </c:pt>
                <c:pt idx="5">
                  <c:v>5195.0889841690796</c:v>
                </c:pt>
                <c:pt idx="6">
                  <c:v>17644.415885236478</c:v>
                </c:pt>
                <c:pt idx="7">
                  <c:v>310.03781199806275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19234.322853763879</c:v>
                </c:pt>
                <c:pt idx="2">
                  <c:v>7924.2360858947422</c:v>
                </c:pt>
                <c:pt idx="3">
                  <c:v>106.20508978051416</c:v>
                </c:pt>
                <c:pt idx="4">
                  <c:v>5486.5161262581769</c:v>
                </c:pt>
                <c:pt idx="5">
                  <c:v>5195.0889841690796</c:v>
                </c:pt>
                <c:pt idx="6">
                  <c:v>17644.415885236478</c:v>
                </c:pt>
                <c:pt idx="7">
                  <c:v>310.03781199806275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73009</v>
      </c>
      <c r="B6" s="384"/>
      <c r="C6" s="385"/>
    </row>
    <row r="7" spans="1:7" s="382" customFormat="1" ht="15.75" customHeight="1">
      <c r="A7" s="386" t="str">
        <f>txtMunicipality</f>
        <v>BORGLOON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23568.457799999996</v>
      </c>
      <c r="D10" s="973">
        <f ca="1">tertiair!C16</f>
        <v>0</v>
      </c>
      <c r="E10" s="973">
        <f ca="1">tertiair!D16</f>
        <v>11115.30471095</v>
      </c>
      <c r="F10" s="973">
        <f>tertiair!E16</f>
        <v>513.81137489269884</v>
      </c>
      <c r="G10" s="973">
        <f ca="1">tertiair!F16</f>
        <v>4211.3889092036388</v>
      </c>
      <c r="H10" s="973">
        <f>tertiair!G16</f>
        <v>0</v>
      </c>
      <c r="I10" s="973">
        <f>tertiair!H16</f>
        <v>0</v>
      </c>
      <c r="J10" s="973">
        <f>tertiair!I16</f>
        <v>0</v>
      </c>
      <c r="K10" s="973">
        <f>tertiair!J16</f>
        <v>4.2172265508529129E-2</v>
      </c>
      <c r="L10" s="973">
        <f>tertiair!K16</f>
        <v>0</v>
      </c>
      <c r="M10" s="973">
        <f ca="1">tertiair!L16</f>
        <v>0</v>
      </c>
      <c r="N10" s="973">
        <f>tertiair!M16</f>
        <v>0</v>
      </c>
      <c r="O10" s="973">
        <f ca="1">tertiair!N16</f>
        <v>1684.1702596885277</v>
      </c>
      <c r="P10" s="973">
        <f>tertiair!O16</f>
        <v>3.1266666666666669</v>
      </c>
      <c r="Q10" s="974">
        <f>tertiair!P16</f>
        <v>0</v>
      </c>
      <c r="R10" s="668">
        <f ca="1">SUM(C10:Q10)</f>
        <v>41096.301893667034</v>
      </c>
      <c r="S10" s="67"/>
    </row>
    <row r="11" spans="1:19" s="441" customFormat="1">
      <c r="A11" s="777" t="s">
        <v>219</v>
      </c>
      <c r="B11" s="782"/>
      <c r="C11" s="973">
        <f>huishoudens!B8</f>
        <v>17299.855566247406</v>
      </c>
      <c r="D11" s="973">
        <f>huishoudens!C8</f>
        <v>0</v>
      </c>
      <c r="E11" s="973">
        <f>huishoudens!D8</f>
        <v>27019.834977299997</v>
      </c>
      <c r="F11" s="973">
        <f>huishoudens!E8</f>
        <v>1484.1856469060726</v>
      </c>
      <c r="G11" s="973">
        <f>huishoudens!F8</f>
        <v>37602.61140219638</v>
      </c>
      <c r="H11" s="973">
        <f>huishoudens!G8</f>
        <v>0</v>
      </c>
      <c r="I11" s="973">
        <f>huishoudens!H8</f>
        <v>0</v>
      </c>
      <c r="J11" s="973">
        <f>huishoudens!I8</f>
        <v>0</v>
      </c>
      <c r="K11" s="973">
        <f>huishoudens!J8</f>
        <v>180.93954738517573</v>
      </c>
      <c r="L11" s="973">
        <f>huishoudens!K8</f>
        <v>0</v>
      </c>
      <c r="M11" s="973">
        <f>huishoudens!L8</f>
        <v>0</v>
      </c>
      <c r="N11" s="973">
        <f>huishoudens!M8</f>
        <v>0</v>
      </c>
      <c r="O11" s="973">
        <f>huishoudens!N8</f>
        <v>6853.3602350538822</v>
      </c>
      <c r="P11" s="973">
        <f>huishoudens!O8</f>
        <v>150.08000000000001</v>
      </c>
      <c r="Q11" s="974">
        <f>huishoudens!P8</f>
        <v>858</v>
      </c>
      <c r="R11" s="668">
        <f>SUM(C11:Q11)</f>
        <v>91448.867375088914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7041.6199720000004</v>
      </c>
      <c r="D13" s="973">
        <f>industrie!C18</f>
        <v>0</v>
      </c>
      <c r="E13" s="973">
        <f>industrie!D18</f>
        <v>15390.285702000001</v>
      </c>
      <c r="F13" s="973">
        <f>industrie!E18</f>
        <v>618.30448508314055</v>
      </c>
      <c r="G13" s="973">
        <f>industrie!F18</f>
        <v>2200.8515218151028</v>
      </c>
      <c r="H13" s="973">
        <f>industrie!G18</f>
        <v>0</v>
      </c>
      <c r="I13" s="973">
        <f>industrie!H18</f>
        <v>0</v>
      </c>
      <c r="J13" s="973">
        <f>industrie!I18</f>
        <v>0</v>
      </c>
      <c r="K13" s="973">
        <f>industrie!J18</f>
        <v>1.7698809034841274</v>
      </c>
      <c r="L13" s="973">
        <f>industrie!K18</f>
        <v>0</v>
      </c>
      <c r="M13" s="973">
        <f>industrie!L18</f>
        <v>0</v>
      </c>
      <c r="N13" s="973">
        <f>industrie!M18</f>
        <v>0</v>
      </c>
      <c r="O13" s="973">
        <f>industrie!N18</f>
        <v>644.57028680682527</v>
      </c>
      <c r="P13" s="973">
        <f>industrie!O18</f>
        <v>0</v>
      </c>
      <c r="Q13" s="974">
        <f>industrie!P18</f>
        <v>0</v>
      </c>
      <c r="R13" s="668">
        <f>SUM(C13:Q13)</f>
        <v>25897.401848608555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47909.9333382474</v>
      </c>
      <c r="D16" s="700">
        <f t="shared" ref="D16:R16" ca="1" si="0">SUM(D9:D15)</f>
        <v>0</v>
      </c>
      <c r="E16" s="700">
        <f t="shared" ca="1" si="0"/>
        <v>53525.425390249999</v>
      </c>
      <c r="F16" s="700">
        <f t="shared" si="0"/>
        <v>2616.3015068819122</v>
      </c>
      <c r="G16" s="700">
        <f t="shared" ca="1" si="0"/>
        <v>44014.851833215122</v>
      </c>
      <c r="H16" s="700">
        <f t="shared" si="0"/>
        <v>0</v>
      </c>
      <c r="I16" s="700">
        <f t="shared" si="0"/>
        <v>0</v>
      </c>
      <c r="J16" s="700">
        <f t="shared" si="0"/>
        <v>0</v>
      </c>
      <c r="K16" s="700">
        <f t="shared" si="0"/>
        <v>182.75160055416839</v>
      </c>
      <c r="L16" s="700">
        <f t="shared" si="0"/>
        <v>0</v>
      </c>
      <c r="M16" s="700">
        <f t="shared" ca="1" si="0"/>
        <v>0</v>
      </c>
      <c r="N16" s="700">
        <f t="shared" si="0"/>
        <v>0</v>
      </c>
      <c r="O16" s="700">
        <f t="shared" ca="1" si="0"/>
        <v>9182.1007815492358</v>
      </c>
      <c r="P16" s="700">
        <f t="shared" si="0"/>
        <v>153.20666666666668</v>
      </c>
      <c r="Q16" s="700">
        <f t="shared" si="0"/>
        <v>858</v>
      </c>
      <c r="R16" s="700">
        <f t="shared" ca="1" si="0"/>
        <v>158442.57111736451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12.266676032763767</v>
      </c>
      <c r="D19" s="973">
        <f>transport!C54</f>
        <v>0</v>
      </c>
      <c r="E19" s="973">
        <f>transport!D54</f>
        <v>0</v>
      </c>
      <c r="F19" s="973">
        <f>transport!E54</f>
        <v>0</v>
      </c>
      <c r="G19" s="973">
        <f>transport!F54</f>
        <v>0</v>
      </c>
      <c r="H19" s="973">
        <f>transport!G54</f>
        <v>1152.3324555256165</v>
      </c>
      <c r="I19" s="973">
        <f>transport!H54</f>
        <v>0</v>
      </c>
      <c r="J19" s="973">
        <f>transport!I54</f>
        <v>0</v>
      </c>
      <c r="K19" s="973">
        <f>transport!J54</f>
        <v>0</v>
      </c>
      <c r="L19" s="973">
        <f>transport!K54</f>
        <v>0</v>
      </c>
      <c r="M19" s="973">
        <f>transport!L54</f>
        <v>0</v>
      </c>
      <c r="N19" s="973">
        <f>transport!M54</f>
        <v>66.359366217055296</v>
      </c>
      <c r="O19" s="973">
        <f>transport!N54</f>
        <v>0</v>
      </c>
      <c r="P19" s="973">
        <f>transport!O54</f>
        <v>0</v>
      </c>
      <c r="Q19" s="974">
        <f>transport!P54</f>
        <v>0</v>
      </c>
      <c r="R19" s="668">
        <f>SUM(C19:Q19)</f>
        <v>1230.9584977754357</v>
      </c>
      <c r="S19" s="67"/>
    </row>
    <row r="20" spans="1:19" s="441" customFormat="1">
      <c r="A20" s="777" t="s">
        <v>301</v>
      </c>
      <c r="B20" s="782"/>
      <c r="C20" s="973">
        <f>transport!B14</f>
        <v>39.177962753818598</v>
      </c>
      <c r="D20" s="973">
        <f>transport!C14</f>
        <v>0</v>
      </c>
      <c r="E20" s="973">
        <f>transport!D14</f>
        <v>68.835197130640069</v>
      </c>
      <c r="F20" s="973">
        <f>transport!E14</f>
        <v>119.74810776431859</v>
      </c>
      <c r="G20" s="973">
        <f>transport!F14</f>
        <v>0</v>
      </c>
      <c r="H20" s="973">
        <f>transport!G14</f>
        <v>55586.742904768609</v>
      </c>
      <c r="I20" s="973">
        <f>transport!H14</f>
        <v>11060.700355043693</v>
      </c>
      <c r="J20" s="973">
        <f>transport!I14</f>
        <v>0</v>
      </c>
      <c r="K20" s="973">
        <f>transport!J14</f>
        <v>0</v>
      </c>
      <c r="L20" s="973">
        <f>transport!K14</f>
        <v>0</v>
      </c>
      <c r="M20" s="973">
        <f>transport!L14</f>
        <v>0</v>
      </c>
      <c r="N20" s="973">
        <f>transport!M14</f>
        <v>3573.308593246034</v>
      </c>
      <c r="O20" s="973">
        <f>transport!N14</f>
        <v>0</v>
      </c>
      <c r="P20" s="973">
        <f>transport!O14</f>
        <v>0</v>
      </c>
      <c r="Q20" s="974">
        <f>transport!P14</f>
        <v>0</v>
      </c>
      <c r="R20" s="668">
        <f>SUM(C20:Q20)</f>
        <v>70448.513120707124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51.444638786582367</v>
      </c>
      <c r="D22" s="780">
        <f t="shared" ref="D22:R22" si="1">SUM(D18:D21)</f>
        <v>0</v>
      </c>
      <c r="E22" s="780">
        <f t="shared" si="1"/>
        <v>68.835197130640069</v>
      </c>
      <c r="F22" s="780">
        <f t="shared" si="1"/>
        <v>119.74810776431859</v>
      </c>
      <c r="G22" s="780">
        <f t="shared" si="1"/>
        <v>0</v>
      </c>
      <c r="H22" s="780">
        <f t="shared" si="1"/>
        <v>56739.075360294228</v>
      </c>
      <c r="I22" s="780">
        <f t="shared" si="1"/>
        <v>11060.700355043693</v>
      </c>
      <c r="J22" s="780">
        <f t="shared" si="1"/>
        <v>0</v>
      </c>
      <c r="K22" s="780">
        <f t="shared" si="1"/>
        <v>0</v>
      </c>
      <c r="L22" s="780">
        <f t="shared" si="1"/>
        <v>0</v>
      </c>
      <c r="M22" s="780">
        <f t="shared" si="1"/>
        <v>0</v>
      </c>
      <c r="N22" s="780">
        <f t="shared" si="1"/>
        <v>3639.6679594630891</v>
      </c>
      <c r="O22" s="780">
        <f t="shared" si="1"/>
        <v>0</v>
      </c>
      <c r="P22" s="780">
        <f t="shared" si="1"/>
        <v>0</v>
      </c>
      <c r="Q22" s="780">
        <f t="shared" si="1"/>
        <v>0</v>
      </c>
      <c r="R22" s="780">
        <f t="shared" si="1"/>
        <v>71679.471618482567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3836.0372499999999</v>
      </c>
      <c r="D24" s="973">
        <f>+landbouw!C8</f>
        <v>64.285714285714292</v>
      </c>
      <c r="E24" s="973">
        <f>+landbouw!D8</f>
        <v>1200.2675994285712</v>
      </c>
      <c r="F24" s="973">
        <f>+landbouw!E8</f>
        <v>112.75285138761019</v>
      </c>
      <c r="G24" s="973">
        <f>+landbouw!F8</f>
        <v>15980.723894927103</v>
      </c>
      <c r="H24" s="973">
        <f>+landbouw!G8</f>
        <v>0</v>
      </c>
      <c r="I24" s="973">
        <f>+landbouw!H8</f>
        <v>0</v>
      </c>
      <c r="J24" s="973">
        <f>+landbouw!I8</f>
        <v>0</v>
      </c>
      <c r="K24" s="973">
        <f>+landbouw!J8</f>
        <v>555.75941768206349</v>
      </c>
      <c r="L24" s="973">
        <f>+landbouw!K8</f>
        <v>0</v>
      </c>
      <c r="M24" s="973">
        <f>+landbouw!L8</f>
        <v>0</v>
      </c>
      <c r="N24" s="973">
        <f>+landbouw!M8</f>
        <v>0</v>
      </c>
      <c r="O24" s="973">
        <f>+landbouw!N8</f>
        <v>0</v>
      </c>
      <c r="P24" s="973">
        <f>+landbouw!O8</f>
        <v>0</v>
      </c>
      <c r="Q24" s="974">
        <f>+landbouw!P8</f>
        <v>0</v>
      </c>
      <c r="R24" s="668">
        <f>SUM(C24:Q24)</f>
        <v>21749.826727711064</v>
      </c>
      <c r="S24" s="67"/>
    </row>
    <row r="25" spans="1:19" s="441" customFormat="1" ht="15" thickBot="1">
      <c r="A25" s="799" t="s">
        <v>808</v>
      </c>
      <c r="B25" s="976"/>
      <c r="C25" s="977">
        <f>IF(Onbekend_ele_kWh="---",0,Onbekend_ele_kWh)/1000+IF(REST_rest_ele_kWh="---",0,REST_rest_ele_kWh)/1000</f>
        <v>628.80027500000006</v>
      </c>
      <c r="D25" s="977"/>
      <c r="E25" s="977">
        <f>IF(onbekend_gas_kWh="---",0,onbekend_gas_kWh)/1000+IF(REST_rest_gas_kWh="---",0,REST_rest_gas_kWh)/1000</f>
        <v>1807.3538999999998</v>
      </c>
      <c r="F25" s="977"/>
      <c r="G25" s="977"/>
      <c r="H25" s="977"/>
      <c r="I25" s="977"/>
      <c r="J25" s="977"/>
      <c r="K25" s="977"/>
      <c r="L25" s="977"/>
      <c r="M25" s="977"/>
      <c r="N25" s="977"/>
      <c r="O25" s="977"/>
      <c r="P25" s="977"/>
      <c r="Q25" s="978"/>
      <c r="R25" s="668">
        <f>SUM(C25:Q25)</f>
        <v>2436.1541749999997</v>
      </c>
      <c r="S25" s="67"/>
    </row>
    <row r="26" spans="1:19" s="441" customFormat="1" ht="15.75" thickBot="1">
      <c r="A26" s="673" t="s">
        <v>809</v>
      </c>
      <c r="B26" s="785"/>
      <c r="C26" s="780">
        <f>SUM(C24:C25)</f>
        <v>4464.8375249999999</v>
      </c>
      <c r="D26" s="780">
        <f t="shared" ref="D26:R26" si="2">SUM(D24:D25)</f>
        <v>64.285714285714292</v>
      </c>
      <c r="E26" s="780">
        <f t="shared" si="2"/>
        <v>3007.621499428571</v>
      </c>
      <c r="F26" s="780">
        <f t="shared" si="2"/>
        <v>112.75285138761019</v>
      </c>
      <c r="G26" s="780">
        <f t="shared" si="2"/>
        <v>15980.723894927103</v>
      </c>
      <c r="H26" s="780">
        <f t="shared" si="2"/>
        <v>0</v>
      </c>
      <c r="I26" s="780">
        <f t="shared" si="2"/>
        <v>0</v>
      </c>
      <c r="J26" s="780">
        <f t="shared" si="2"/>
        <v>0</v>
      </c>
      <c r="K26" s="780">
        <f t="shared" si="2"/>
        <v>555.75941768206349</v>
      </c>
      <c r="L26" s="780">
        <f t="shared" si="2"/>
        <v>0</v>
      </c>
      <c r="M26" s="780">
        <f t="shared" si="2"/>
        <v>0</v>
      </c>
      <c r="N26" s="780">
        <f t="shared" si="2"/>
        <v>0</v>
      </c>
      <c r="O26" s="780">
        <f t="shared" si="2"/>
        <v>0</v>
      </c>
      <c r="P26" s="780">
        <f t="shared" si="2"/>
        <v>0</v>
      </c>
      <c r="Q26" s="780">
        <f t="shared" si="2"/>
        <v>0</v>
      </c>
      <c r="R26" s="780">
        <f t="shared" si="2"/>
        <v>24185.980902711064</v>
      </c>
      <c r="S26" s="67"/>
    </row>
    <row r="27" spans="1:19" s="441" customFormat="1" ht="17.25" thickTop="1" thickBot="1">
      <c r="A27" s="674" t="s">
        <v>115</v>
      </c>
      <c r="B27" s="773"/>
      <c r="C27" s="675">
        <f ca="1">C22+C16+C26</f>
        <v>52426.215502033985</v>
      </c>
      <c r="D27" s="675">
        <f t="shared" ref="D27:R27" ca="1" si="3">D22+D16+D26</f>
        <v>64.285714285714292</v>
      </c>
      <c r="E27" s="675">
        <f t="shared" ca="1" si="3"/>
        <v>56601.882086809208</v>
      </c>
      <c r="F27" s="675">
        <f t="shared" si="3"/>
        <v>2848.802466033841</v>
      </c>
      <c r="G27" s="675">
        <f t="shared" ca="1" si="3"/>
        <v>59995.575728142227</v>
      </c>
      <c r="H27" s="675">
        <f t="shared" si="3"/>
        <v>56739.075360294228</v>
      </c>
      <c r="I27" s="675">
        <f t="shared" si="3"/>
        <v>11060.700355043693</v>
      </c>
      <c r="J27" s="675">
        <f t="shared" si="3"/>
        <v>0</v>
      </c>
      <c r="K27" s="675">
        <f t="shared" si="3"/>
        <v>738.51101823623185</v>
      </c>
      <c r="L27" s="675">
        <f t="shared" si="3"/>
        <v>0</v>
      </c>
      <c r="M27" s="675">
        <f t="shared" ca="1" si="3"/>
        <v>0</v>
      </c>
      <c r="N27" s="675">
        <f t="shared" si="3"/>
        <v>3639.6679594630891</v>
      </c>
      <c r="O27" s="675">
        <f t="shared" ca="1" si="3"/>
        <v>9182.1007815492358</v>
      </c>
      <c r="P27" s="675">
        <f t="shared" si="3"/>
        <v>153.20666666666668</v>
      </c>
      <c r="Q27" s="675">
        <f t="shared" si="3"/>
        <v>858</v>
      </c>
      <c r="R27" s="675">
        <f t="shared" ca="1" si="3"/>
        <v>254308.02363855814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4544.0586742233509</v>
      </c>
      <c r="D40" s="973">
        <f ca="1">tertiair!C20</f>
        <v>0</v>
      </c>
      <c r="E40" s="973">
        <f ca="1">tertiair!D20</f>
        <v>2245.2915516119001</v>
      </c>
      <c r="F40" s="973">
        <f>tertiair!E20</f>
        <v>116.63518210064264</v>
      </c>
      <c r="G40" s="973">
        <f ca="1">tertiair!F20</f>
        <v>1124.4408387573717</v>
      </c>
      <c r="H40" s="973">
        <f>tertiair!G20</f>
        <v>0</v>
      </c>
      <c r="I40" s="973">
        <f>tertiair!H20</f>
        <v>0</v>
      </c>
      <c r="J40" s="973">
        <f>tertiair!I20</f>
        <v>0</v>
      </c>
      <c r="K40" s="973">
        <f>tertiair!J20</f>
        <v>1.492898199001931E-2</v>
      </c>
      <c r="L40" s="973">
        <f>tertiair!K20</f>
        <v>0</v>
      </c>
      <c r="M40" s="973">
        <f ca="1">tertiair!L20</f>
        <v>0</v>
      </c>
      <c r="N40" s="973">
        <f>tertiair!M20</f>
        <v>0</v>
      </c>
      <c r="O40" s="973">
        <f ca="1">tertiair!N20</f>
        <v>0</v>
      </c>
      <c r="P40" s="973">
        <f>tertiair!O20</f>
        <v>0</v>
      </c>
      <c r="Q40" s="742">
        <f>tertiair!P20</f>
        <v>0</v>
      </c>
      <c r="R40" s="818">
        <f t="shared" ca="1" si="4"/>
        <v>8030.4411756752552</v>
      </c>
    </row>
    <row r="41" spans="1:18">
      <c r="A41" s="790" t="s">
        <v>219</v>
      </c>
      <c r="B41" s="797"/>
      <c r="C41" s="973">
        <f ca="1">huishoudens!B12</f>
        <v>3335.4562023408107</v>
      </c>
      <c r="D41" s="973">
        <f ca="1">huishoudens!C12</f>
        <v>0</v>
      </c>
      <c r="E41" s="973">
        <f>huishoudens!D12</f>
        <v>5458.0066654145994</v>
      </c>
      <c r="F41" s="973">
        <f>huishoudens!E12</f>
        <v>336.91014184767852</v>
      </c>
      <c r="G41" s="973">
        <f>huishoudens!F12</f>
        <v>10039.897244386435</v>
      </c>
      <c r="H41" s="973">
        <f>huishoudens!G12</f>
        <v>0</v>
      </c>
      <c r="I41" s="973">
        <f>huishoudens!H12</f>
        <v>0</v>
      </c>
      <c r="J41" s="973">
        <f>huishoudens!I12</f>
        <v>0</v>
      </c>
      <c r="K41" s="973">
        <f>huishoudens!J12</f>
        <v>64.052599774352203</v>
      </c>
      <c r="L41" s="973">
        <f>huishoudens!K12</f>
        <v>0</v>
      </c>
      <c r="M41" s="973">
        <f>huishoudens!L12</f>
        <v>0</v>
      </c>
      <c r="N41" s="973">
        <f>huishoudens!M12</f>
        <v>0</v>
      </c>
      <c r="O41" s="973">
        <f>huishoudens!N12</f>
        <v>0</v>
      </c>
      <c r="P41" s="973">
        <f>huishoudens!O12</f>
        <v>0</v>
      </c>
      <c r="Q41" s="742">
        <f>huishoudens!P12</f>
        <v>0</v>
      </c>
      <c r="R41" s="818">
        <f t="shared" ca="1" si="4"/>
        <v>19234.322853763879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1357.6422600867418</v>
      </c>
      <c r="D43" s="973">
        <f ca="1">industrie!C22</f>
        <v>0</v>
      </c>
      <c r="E43" s="973">
        <f>industrie!D22</f>
        <v>3108.8377118040003</v>
      </c>
      <c r="F43" s="973">
        <f>industrie!E22</f>
        <v>140.35511811387292</v>
      </c>
      <c r="G43" s="973">
        <f>industrie!F22</f>
        <v>587.6273563246325</v>
      </c>
      <c r="H43" s="973">
        <f>industrie!G22</f>
        <v>0</v>
      </c>
      <c r="I43" s="973">
        <f>industrie!H22</f>
        <v>0</v>
      </c>
      <c r="J43" s="973">
        <f>industrie!I22</f>
        <v>0</v>
      </c>
      <c r="K43" s="973">
        <f>industrie!J22</f>
        <v>0.62653783983338107</v>
      </c>
      <c r="L43" s="973">
        <f>industrie!K22</f>
        <v>0</v>
      </c>
      <c r="M43" s="973">
        <f>industrie!L22</f>
        <v>0</v>
      </c>
      <c r="N43" s="973">
        <f>industrie!M22</f>
        <v>0</v>
      </c>
      <c r="O43" s="973">
        <f>industrie!N22</f>
        <v>0</v>
      </c>
      <c r="P43" s="973">
        <f>industrie!O22</f>
        <v>0</v>
      </c>
      <c r="Q43" s="742">
        <f>industrie!P22</f>
        <v>0</v>
      </c>
      <c r="R43" s="817">
        <f t="shared" ca="1" si="4"/>
        <v>5195.0889841690796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9237.1571366509033</v>
      </c>
      <c r="D46" s="700">
        <f t="shared" ref="D46:Q46" ca="1" si="5">SUM(D39:D45)</f>
        <v>0</v>
      </c>
      <c r="E46" s="700">
        <f t="shared" ca="1" si="5"/>
        <v>10812.135928830499</v>
      </c>
      <c r="F46" s="700">
        <f t="shared" si="5"/>
        <v>593.90044206219409</v>
      </c>
      <c r="G46" s="700">
        <f t="shared" ca="1" si="5"/>
        <v>11751.965439468438</v>
      </c>
      <c r="H46" s="700">
        <f t="shared" si="5"/>
        <v>0</v>
      </c>
      <c r="I46" s="700">
        <f t="shared" si="5"/>
        <v>0</v>
      </c>
      <c r="J46" s="700">
        <f t="shared" si="5"/>
        <v>0</v>
      </c>
      <c r="K46" s="700">
        <f t="shared" si="5"/>
        <v>64.694066596175603</v>
      </c>
      <c r="L46" s="700">
        <f t="shared" si="5"/>
        <v>0</v>
      </c>
      <c r="M46" s="700">
        <f t="shared" ca="1" si="5"/>
        <v>0</v>
      </c>
      <c r="N46" s="700">
        <f t="shared" si="5"/>
        <v>0</v>
      </c>
      <c r="O46" s="700">
        <f t="shared" ca="1" si="5"/>
        <v>0</v>
      </c>
      <c r="P46" s="700">
        <f t="shared" si="5"/>
        <v>0</v>
      </c>
      <c r="Q46" s="700">
        <f t="shared" si="5"/>
        <v>0</v>
      </c>
      <c r="R46" s="700">
        <f ca="1">SUM(R39:R45)</f>
        <v>32459.853013608215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2.3650463727231186</v>
      </c>
      <c r="D49" s="973">
        <f ca="1">transport!C58</f>
        <v>0</v>
      </c>
      <c r="E49" s="973">
        <f>transport!D58</f>
        <v>0</v>
      </c>
      <c r="F49" s="973">
        <f>transport!E58</f>
        <v>0</v>
      </c>
      <c r="G49" s="973">
        <f>transport!F58</f>
        <v>0</v>
      </c>
      <c r="H49" s="973">
        <f>transport!G58</f>
        <v>307.67276562533965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310.03781199806275</v>
      </c>
    </row>
    <row r="50" spans="1:18">
      <c r="A50" s="793" t="s">
        <v>301</v>
      </c>
      <c r="B50" s="803"/>
      <c r="C50" s="671">
        <f ca="1">transport!B18</f>
        <v>7.5536109744901845</v>
      </c>
      <c r="D50" s="671">
        <f>transport!C18</f>
        <v>0</v>
      </c>
      <c r="E50" s="671">
        <f>transport!D18</f>
        <v>13.904709820389295</v>
      </c>
      <c r="F50" s="671">
        <f>transport!E18</f>
        <v>27.18282046250032</v>
      </c>
      <c r="G50" s="671">
        <f>transport!F18</f>
        <v>0</v>
      </c>
      <c r="H50" s="671">
        <f>transport!G18</f>
        <v>14841.66035557322</v>
      </c>
      <c r="I50" s="671">
        <f>transport!H18</f>
        <v>2754.1143884058797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17644.415885236478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9.9186573472133031</v>
      </c>
      <c r="D52" s="700">
        <f t="shared" ref="D52:Q52" ca="1" si="6">SUM(D48:D51)</f>
        <v>0</v>
      </c>
      <c r="E52" s="700">
        <f t="shared" si="6"/>
        <v>13.904709820389295</v>
      </c>
      <c r="F52" s="700">
        <f t="shared" si="6"/>
        <v>27.18282046250032</v>
      </c>
      <c r="G52" s="700">
        <f t="shared" si="6"/>
        <v>0</v>
      </c>
      <c r="H52" s="700">
        <f t="shared" si="6"/>
        <v>15149.333121198559</v>
      </c>
      <c r="I52" s="700">
        <f t="shared" si="6"/>
        <v>2754.1143884058797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17954.453697234541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739.59774917926075</v>
      </c>
      <c r="D54" s="671">
        <f ca="1">+landbouw!C12</f>
        <v>15.277310924369752</v>
      </c>
      <c r="E54" s="671">
        <f>+landbouw!D12</f>
        <v>242.45405508457139</v>
      </c>
      <c r="F54" s="671">
        <f>+landbouw!E12</f>
        <v>25.594897264987516</v>
      </c>
      <c r="G54" s="671">
        <f>+landbouw!F12</f>
        <v>4266.853279945537</v>
      </c>
      <c r="H54" s="671">
        <f>+landbouw!G12</f>
        <v>0</v>
      </c>
      <c r="I54" s="671">
        <f>+landbouw!H12</f>
        <v>0</v>
      </c>
      <c r="J54" s="671">
        <f>+landbouw!I12</f>
        <v>0</v>
      </c>
      <c r="K54" s="671">
        <f>+landbouw!J12</f>
        <v>196.73883385945047</v>
      </c>
      <c r="L54" s="671">
        <f>+landbouw!K12</f>
        <v>0</v>
      </c>
      <c r="M54" s="671">
        <f>+landbouw!L12</f>
        <v>0</v>
      </c>
      <c r="N54" s="671">
        <f>+landbouw!M12</f>
        <v>0</v>
      </c>
      <c r="O54" s="671">
        <f>+landbouw!N12</f>
        <v>0</v>
      </c>
      <c r="P54" s="671">
        <f>+landbouw!O12</f>
        <v>0</v>
      </c>
      <c r="Q54" s="672">
        <f>+landbouw!P12</f>
        <v>0</v>
      </c>
      <c r="R54" s="699">
        <f ca="1">SUM(C54:Q54)</f>
        <v>5486.5161262581769</v>
      </c>
    </row>
    <row r="55" spans="1:18" ht="15" thickBot="1">
      <c r="A55" s="793" t="s">
        <v>808</v>
      </c>
      <c r="B55" s="803"/>
      <c r="C55" s="671">
        <f ca="1">C25*'EF ele_warmte'!B12</f>
        <v>121.23429408129451</v>
      </c>
      <c r="D55" s="671"/>
      <c r="E55" s="671">
        <f>E25*EF_CO2_aardgas</f>
        <v>365.08548780000001</v>
      </c>
      <c r="F55" s="671"/>
      <c r="G55" s="671"/>
      <c r="H55" s="671"/>
      <c r="I55" s="671"/>
      <c r="J55" s="671"/>
      <c r="K55" s="671"/>
      <c r="L55" s="671"/>
      <c r="M55" s="671"/>
      <c r="N55" s="671"/>
      <c r="O55" s="671"/>
      <c r="P55" s="671"/>
      <c r="Q55" s="672"/>
      <c r="R55" s="699">
        <f ca="1">SUM(C55:Q55)</f>
        <v>486.31978188129449</v>
      </c>
    </row>
    <row r="56" spans="1:18" ht="15.75" thickBot="1">
      <c r="A56" s="791" t="s">
        <v>809</v>
      </c>
      <c r="B56" s="804"/>
      <c r="C56" s="700">
        <f ca="1">SUM(C54:C55)</f>
        <v>860.83204326055522</v>
      </c>
      <c r="D56" s="700">
        <f t="shared" ref="D56:Q56" ca="1" si="7">SUM(D54:D55)</f>
        <v>15.277310924369752</v>
      </c>
      <c r="E56" s="700">
        <f t="shared" si="7"/>
        <v>607.53954288457135</v>
      </c>
      <c r="F56" s="700">
        <f t="shared" si="7"/>
        <v>25.594897264987516</v>
      </c>
      <c r="G56" s="700">
        <f t="shared" si="7"/>
        <v>4266.853279945537</v>
      </c>
      <c r="H56" s="700">
        <f t="shared" si="7"/>
        <v>0</v>
      </c>
      <c r="I56" s="700">
        <f t="shared" si="7"/>
        <v>0</v>
      </c>
      <c r="J56" s="700">
        <f t="shared" si="7"/>
        <v>0</v>
      </c>
      <c r="K56" s="700">
        <f t="shared" si="7"/>
        <v>196.73883385945047</v>
      </c>
      <c r="L56" s="700">
        <f t="shared" si="7"/>
        <v>0</v>
      </c>
      <c r="M56" s="700">
        <f t="shared" si="7"/>
        <v>0</v>
      </c>
      <c r="N56" s="700">
        <f t="shared" si="7"/>
        <v>0</v>
      </c>
      <c r="O56" s="700">
        <f t="shared" si="7"/>
        <v>0</v>
      </c>
      <c r="P56" s="700">
        <f t="shared" si="7"/>
        <v>0</v>
      </c>
      <c r="Q56" s="701">
        <f t="shared" si="7"/>
        <v>0</v>
      </c>
      <c r="R56" s="702">
        <f ca="1">SUM(R54:R55)</f>
        <v>5972.835908139471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10107.907837258672</v>
      </c>
      <c r="D61" s="708">
        <f t="shared" ref="D61:Q61" ca="1" si="8">D46+D52+D56</f>
        <v>15.277310924369752</v>
      </c>
      <c r="E61" s="708">
        <f t="shared" ca="1" si="8"/>
        <v>11433.580181535461</v>
      </c>
      <c r="F61" s="708">
        <f t="shared" si="8"/>
        <v>646.6781597896819</v>
      </c>
      <c r="G61" s="708">
        <f t="shared" ca="1" si="8"/>
        <v>16018.818719413975</v>
      </c>
      <c r="H61" s="708">
        <f t="shared" si="8"/>
        <v>15149.333121198559</v>
      </c>
      <c r="I61" s="708">
        <f t="shared" si="8"/>
        <v>2754.1143884058797</v>
      </c>
      <c r="J61" s="708">
        <f t="shared" si="8"/>
        <v>0</v>
      </c>
      <c r="K61" s="708">
        <f t="shared" si="8"/>
        <v>261.43290045562605</v>
      </c>
      <c r="L61" s="708">
        <f t="shared" si="8"/>
        <v>0</v>
      </c>
      <c r="M61" s="708">
        <f t="shared" ca="1" si="8"/>
        <v>0</v>
      </c>
      <c r="N61" s="708">
        <f t="shared" si="8"/>
        <v>0</v>
      </c>
      <c r="O61" s="708">
        <f t="shared" ca="1" si="8"/>
        <v>0</v>
      </c>
      <c r="P61" s="708">
        <f t="shared" si="8"/>
        <v>0</v>
      </c>
      <c r="Q61" s="708">
        <f t="shared" si="8"/>
        <v>0</v>
      </c>
      <c r="R61" s="708">
        <f ca="1">R46+R52+R56</f>
        <v>56387.14261898223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0.19280254621595783</v>
      </c>
      <c r="D63" s="749">
        <f t="shared" ca="1" si="9"/>
        <v>0.23764705882352946</v>
      </c>
      <c r="E63" s="984">
        <f t="shared" ca="1" si="9"/>
        <v>0.20200000000000001</v>
      </c>
      <c r="F63" s="749">
        <f t="shared" si="9"/>
        <v>0.22700000000000001</v>
      </c>
      <c r="G63" s="749">
        <f t="shared" ca="1" si="9"/>
        <v>0.26700000000000002</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6692.465639537997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45</v>
      </c>
      <c r="D76" s="994">
        <f>'lokale energieproductie'!C8</f>
        <v>52.941176470588239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10.694117647058825</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6692.465639537997</v>
      </c>
      <c r="C78" s="723">
        <f>SUM(C72:C77)</f>
        <v>45</v>
      </c>
      <c r="D78" s="724">
        <f t="shared" ref="D78:H78" si="10">SUM(D76:D77)</f>
        <v>52.941176470588239</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10.694117647058825</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64.285714285714292</v>
      </c>
      <c r="D87" s="745">
        <f>'lokale energieproductie'!C17</f>
        <v>75.630252100840352</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15.277310924369752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64.285714285714292</v>
      </c>
      <c r="D90" s="723">
        <f t="shared" ref="D90:H90" si="12">SUM(D87:D89)</f>
        <v>75.630252100840352</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15.277310924369752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17299.855566247406</v>
      </c>
      <c r="C4" s="445">
        <f>huishoudens!C8</f>
        <v>0</v>
      </c>
      <c r="D4" s="445">
        <f>huishoudens!D8</f>
        <v>27019.834977299997</v>
      </c>
      <c r="E4" s="445">
        <f>huishoudens!E8</f>
        <v>1484.1856469060726</v>
      </c>
      <c r="F4" s="445">
        <f>huishoudens!F8</f>
        <v>37602.61140219638</v>
      </c>
      <c r="G4" s="445">
        <f>huishoudens!G8</f>
        <v>0</v>
      </c>
      <c r="H4" s="445">
        <f>huishoudens!H8</f>
        <v>0</v>
      </c>
      <c r="I4" s="445">
        <f>huishoudens!I8</f>
        <v>0</v>
      </c>
      <c r="J4" s="445">
        <f>huishoudens!J8</f>
        <v>180.93954738517573</v>
      </c>
      <c r="K4" s="445">
        <f>huishoudens!K8</f>
        <v>0</v>
      </c>
      <c r="L4" s="445">
        <f>huishoudens!L8</f>
        <v>0</v>
      </c>
      <c r="M4" s="445">
        <f>huishoudens!M8</f>
        <v>0</v>
      </c>
      <c r="N4" s="445">
        <f>huishoudens!N8</f>
        <v>6853.3602350538822</v>
      </c>
      <c r="O4" s="445">
        <f>huishoudens!O8</f>
        <v>150.08000000000001</v>
      </c>
      <c r="P4" s="446">
        <f>huishoudens!P8</f>
        <v>858</v>
      </c>
      <c r="Q4" s="447">
        <f>SUM(B4:P4)</f>
        <v>91448.867375088914</v>
      </c>
    </row>
    <row r="5" spans="1:17">
      <c r="A5" s="444" t="s">
        <v>155</v>
      </c>
      <c r="B5" s="445">
        <f ca="1">tertiair!B16</f>
        <v>23017.608799999998</v>
      </c>
      <c r="C5" s="445">
        <f ca="1">tertiair!C16</f>
        <v>0</v>
      </c>
      <c r="D5" s="445">
        <f ca="1">tertiair!D16</f>
        <v>11115.30471095</v>
      </c>
      <c r="E5" s="445">
        <f>tertiair!E16</f>
        <v>513.81137489269884</v>
      </c>
      <c r="F5" s="445">
        <f ca="1">tertiair!F16</f>
        <v>4211.3889092036388</v>
      </c>
      <c r="G5" s="445">
        <f>tertiair!G16</f>
        <v>0</v>
      </c>
      <c r="H5" s="445">
        <f>tertiair!H16</f>
        <v>0</v>
      </c>
      <c r="I5" s="445">
        <f>tertiair!I16</f>
        <v>0</v>
      </c>
      <c r="J5" s="445">
        <f>tertiair!J16</f>
        <v>4.2172265508529129E-2</v>
      </c>
      <c r="K5" s="445">
        <f>tertiair!K16</f>
        <v>0</v>
      </c>
      <c r="L5" s="445">
        <f ca="1">tertiair!L16</f>
        <v>0</v>
      </c>
      <c r="M5" s="445">
        <f>tertiair!M16</f>
        <v>0</v>
      </c>
      <c r="N5" s="445">
        <f ca="1">tertiair!N16</f>
        <v>1684.1702596885277</v>
      </c>
      <c r="O5" s="445">
        <f>tertiair!O16</f>
        <v>3.1266666666666669</v>
      </c>
      <c r="P5" s="446">
        <f>tertiair!P16</f>
        <v>0</v>
      </c>
      <c r="Q5" s="444">
        <f t="shared" ref="Q5:Q14" ca="1" si="0">SUM(B5:P5)</f>
        <v>40545.452893667039</v>
      </c>
    </row>
    <row r="6" spans="1:17">
      <c r="A6" s="444" t="s">
        <v>193</v>
      </c>
      <c r="B6" s="445">
        <f>'openbare verlichting'!B8</f>
        <v>550.84900000000005</v>
      </c>
      <c r="C6" s="445"/>
      <c r="D6" s="445"/>
      <c r="E6" s="445"/>
      <c r="F6" s="445"/>
      <c r="G6" s="445"/>
      <c r="H6" s="445"/>
      <c r="I6" s="445"/>
      <c r="J6" s="445"/>
      <c r="K6" s="445"/>
      <c r="L6" s="445"/>
      <c r="M6" s="445"/>
      <c r="N6" s="445"/>
      <c r="O6" s="445"/>
      <c r="P6" s="446"/>
      <c r="Q6" s="444">
        <f t="shared" si="0"/>
        <v>550.84900000000005</v>
      </c>
    </row>
    <row r="7" spans="1:17">
      <c r="A7" s="444" t="s">
        <v>111</v>
      </c>
      <c r="B7" s="445">
        <f>landbouw!B8</f>
        <v>3836.0372499999999</v>
      </c>
      <c r="C7" s="445">
        <f>landbouw!C8</f>
        <v>64.285714285714292</v>
      </c>
      <c r="D7" s="445">
        <f>landbouw!D8</f>
        <v>1200.2675994285712</v>
      </c>
      <c r="E7" s="445">
        <f>landbouw!E8</f>
        <v>112.75285138761019</v>
      </c>
      <c r="F7" s="445">
        <f>landbouw!F8</f>
        <v>15980.723894927103</v>
      </c>
      <c r="G7" s="445">
        <f>landbouw!G8</f>
        <v>0</v>
      </c>
      <c r="H7" s="445">
        <f>landbouw!H8</f>
        <v>0</v>
      </c>
      <c r="I7" s="445">
        <f>landbouw!I8</f>
        <v>0</v>
      </c>
      <c r="J7" s="445">
        <f>landbouw!J8</f>
        <v>555.75941768206349</v>
      </c>
      <c r="K7" s="445">
        <f>landbouw!K8</f>
        <v>0</v>
      </c>
      <c r="L7" s="445">
        <f>landbouw!L8</f>
        <v>0</v>
      </c>
      <c r="M7" s="445">
        <f>landbouw!M8</f>
        <v>0</v>
      </c>
      <c r="N7" s="445">
        <f>landbouw!N8</f>
        <v>0</v>
      </c>
      <c r="O7" s="445">
        <f>landbouw!O8</f>
        <v>0</v>
      </c>
      <c r="P7" s="446">
        <f>landbouw!P8</f>
        <v>0</v>
      </c>
      <c r="Q7" s="444">
        <f t="shared" si="0"/>
        <v>21749.826727711064</v>
      </c>
    </row>
    <row r="8" spans="1:17">
      <c r="A8" s="444" t="s">
        <v>627</v>
      </c>
      <c r="B8" s="445">
        <f>industrie!B18</f>
        <v>7041.6199720000004</v>
      </c>
      <c r="C8" s="445">
        <f>industrie!C18</f>
        <v>0</v>
      </c>
      <c r="D8" s="445">
        <f>industrie!D18</f>
        <v>15390.285702000001</v>
      </c>
      <c r="E8" s="445">
        <f>industrie!E18</f>
        <v>618.30448508314055</v>
      </c>
      <c r="F8" s="445">
        <f>industrie!F18</f>
        <v>2200.8515218151028</v>
      </c>
      <c r="G8" s="445">
        <f>industrie!G18</f>
        <v>0</v>
      </c>
      <c r="H8" s="445">
        <f>industrie!H18</f>
        <v>0</v>
      </c>
      <c r="I8" s="445">
        <f>industrie!I18</f>
        <v>0</v>
      </c>
      <c r="J8" s="445">
        <f>industrie!J18</f>
        <v>1.7698809034841274</v>
      </c>
      <c r="K8" s="445">
        <f>industrie!K18</f>
        <v>0</v>
      </c>
      <c r="L8" s="445">
        <f>industrie!L18</f>
        <v>0</v>
      </c>
      <c r="M8" s="445">
        <f>industrie!M18</f>
        <v>0</v>
      </c>
      <c r="N8" s="445">
        <f>industrie!N18</f>
        <v>644.57028680682527</v>
      </c>
      <c r="O8" s="445">
        <f>industrie!O18</f>
        <v>0</v>
      </c>
      <c r="P8" s="446">
        <f>industrie!P18</f>
        <v>0</v>
      </c>
      <c r="Q8" s="444">
        <f t="shared" si="0"/>
        <v>25897.401848608555</v>
      </c>
    </row>
    <row r="9" spans="1:17" s="450" customFormat="1">
      <c r="A9" s="448" t="s">
        <v>553</v>
      </c>
      <c r="B9" s="449">
        <f>transport!B14</f>
        <v>39.177962753818598</v>
      </c>
      <c r="C9" s="449">
        <f>transport!C14</f>
        <v>0</v>
      </c>
      <c r="D9" s="449">
        <f>transport!D14</f>
        <v>68.835197130640069</v>
      </c>
      <c r="E9" s="449">
        <f>transport!E14</f>
        <v>119.74810776431859</v>
      </c>
      <c r="F9" s="449">
        <f>transport!F14</f>
        <v>0</v>
      </c>
      <c r="G9" s="449">
        <f>transport!G14</f>
        <v>55586.742904768609</v>
      </c>
      <c r="H9" s="449">
        <f>transport!H14</f>
        <v>11060.700355043693</v>
      </c>
      <c r="I9" s="449">
        <f>transport!I14</f>
        <v>0</v>
      </c>
      <c r="J9" s="449">
        <f>transport!J14</f>
        <v>0</v>
      </c>
      <c r="K9" s="449">
        <f>transport!K14</f>
        <v>0</v>
      </c>
      <c r="L9" s="449">
        <f>transport!L14</f>
        <v>0</v>
      </c>
      <c r="M9" s="449">
        <f>transport!M14</f>
        <v>3573.308593246034</v>
      </c>
      <c r="N9" s="449">
        <f>transport!N14</f>
        <v>0</v>
      </c>
      <c r="O9" s="449">
        <f>transport!O14</f>
        <v>0</v>
      </c>
      <c r="P9" s="449">
        <f>transport!P14</f>
        <v>0</v>
      </c>
      <c r="Q9" s="448">
        <f>SUM(B9:P9)</f>
        <v>70448.513120707124</v>
      </c>
    </row>
    <row r="10" spans="1:17">
      <c r="A10" s="444" t="s">
        <v>543</v>
      </c>
      <c r="B10" s="445">
        <f>transport!B54</f>
        <v>12.266676032763767</v>
      </c>
      <c r="C10" s="445">
        <f>transport!C54</f>
        <v>0</v>
      </c>
      <c r="D10" s="445">
        <f>transport!D54</f>
        <v>0</v>
      </c>
      <c r="E10" s="445">
        <f>transport!E54</f>
        <v>0</v>
      </c>
      <c r="F10" s="445">
        <f>transport!F54</f>
        <v>0</v>
      </c>
      <c r="G10" s="445">
        <f>transport!G54</f>
        <v>1152.3324555256165</v>
      </c>
      <c r="H10" s="445">
        <f>transport!H54</f>
        <v>0</v>
      </c>
      <c r="I10" s="445">
        <f>transport!I54</f>
        <v>0</v>
      </c>
      <c r="J10" s="445">
        <f>transport!J54</f>
        <v>0</v>
      </c>
      <c r="K10" s="445">
        <f>transport!K54</f>
        <v>0</v>
      </c>
      <c r="L10" s="445">
        <f>transport!L54</f>
        <v>0</v>
      </c>
      <c r="M10" s="445">
        <f>transport!M54</f>
        <v>66.359366217055296</v>
      </c>
      <c r="N10" s="445">
        <f>transport!N54</f>
        <v>0</v>
      </c>
      <c r="O10" s="445">
        <f>transport!O54</f>
        <v>0</v>
      </c>
      <c r="P10" s="446">
        <f>transport!P54</f>
        <v>0</v>
      </c>
      <c r="Q10" s="444">
        <f t="shared" si="0"/>
        <v>1230.9584977754357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628.80027500000006</v>
      </c>
      <c r="C14" s="452"/>
      <c r="D14" s="452">
        <f>'SEAP template'!E25</f>
        <v>1807.3538999999998</v>
      </c>
      <c r="E14" s="452"/>
      <c r="F14" s="452"/>
      <c r="G14" s="452"/>
      <c r="H14" s="452"/>
      <c r="I14" s="452"/>
      <c r="J14" s="452"/>
      <c r="K14" s="452"/>
      <c r="L14" s="452"/>
      <c r="M14" s="452"/>
      <c r="N14" s="452"/>
      <c r="O14" s="452"/>
      <c r="P14" s="453"/>
      <c r="Q14" s="444">
        <f t="shared" si="0"/>
        <v>2436.1541749999997</v>
      </c>
    </row>
    <row r="15" spans="1:17" s="454" customFormat="1">
      <c r="A15" s="999" t="s">
        <v>547</v>
      </c>
      <c r="B15" s="947">
        <f ca="1">SUM(B4:B14)</f>
        <v>52426.215502033992</v>
      </c>
      <c r="C15" s="947">
        <f t="shared" ref="C15:Q15" ca="1" si="1">SUM(C4:C14)</f>
        <v>64.285714285714292</v>
      </c>
      <c r="D15" s="947">
        <f t="shared" ca="1" si="1"/>
        <v>56601.882086809215</v>
      </c>
      <c r="E15" s="947">
        <f t="shared" si="1"/>
        <v>2848.802466033841</v>
      </c>
      <c r="F15" s="947">
        <f t="shared" ca="1" si="1"/>
        <v>59995.575728142227</v>
      </c>
      <c r="G15" s="947">
        <f t="shared" si="1"/>
        <v>56739.075360294228</v>
      </c>
      <c r="H15" s="947">
        <f t="shared" si="1"/>
        <v>11060.700355043693</v>
      </c>
      <c r="I15" s="947">
        <f t="shared" si="1"/>
        <v>0</v>
      </c>
      <c r="J15" s="947">
        <f t="shared" si="1"/>
        <v>738.51101823623185</v>
      </c>
      <c r="K15" s="947">
        <f t="shared" si="1"/>
        <v>0</v>
      </c>
      <c r="L15" s="947">
        <f t="shared" ca="1" si="1"/>
        <v>0</v>
      </c>
      <c r="M15" s="947">
        <f t="shared" si="1"/>
        <v>3639.6679594630891</v>
      </c>
      <c r="N15" s="947">
        <f t="shared" ca="1" si="1"/>
        <v>9182.1007815492358</v>
      </c>
      <c r="O15" s="947">
        <f t="shared" si="1"/>
        <v>153.20666666666668</v>
      </c>
      <c r="P15" s="947">
        <f t="shared" si="1"/>
        <v>858</v>
      </c>
      <c r="Q15" s="947">
        <f t="shared" ca="1" si="1"/>
        <v>254308.02363855814</v>
      </c>
    </row>
    <row r="17" spans="1:17">
      <c r="A17" s="455" t="s">
        <v>548</v>
      </c>
      <c r="B17" s="754">
        <f ca="1">huishoudens!B10</f>
        <v>0.19280254621595783</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3335.4562023408107</v>
      </c>
      <c r="C22" s="445">
        <f t="shared" ref="C22:C32" ca="1" si="3">C4*$C$17</f>
        <v>0</v>
      </c>
      <c r="D22" s="445">
        <f t="shared" ref="D22:D32" si="4">D4*$D$17</f>
        <v>5458.0066654145994</v>
      </c>
      <c r="E22" s="445">
        <f t="shared" ref="E22:E32" si="5">E4*$E$17</f>
        <v>336.91014184767852</v>
      </c>
      <c r="F22" s="445">
        <f t="shared" ref="F22:F32" si="6">F4*$F$17</f>
        <v>10039.897244386435</v>
      </c>
      <c r="G22" s="445">
        <f t="shared" ref="G22:G32" si="7">G4*$G$17</f>
        <v>0</v>
      </c>
      <c r="H22" s="445">
        <f t="shared" ref="H22:H32" si="8">H4*$H$17</f>
        <v>0</v>
      </c>
      <c r="I22" s="445">
        <f t="shared" ref="I22:I32" si="9">I4*$I$17</f>
        <v>0</v>
      </c>
      <c r="J22" s="445">
        <f t="shared" ref="J22:J32" si="10">J4*$J$17</f>
        <v>64.052599774352203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19234.322853763879</v>
      </c>
    </row>
    <row r="23" spans="1:17">
      <c r="A23" s="444" t="s">
        <v>155</v>
      </c>
      <c r="B23" s="445">
        <f t="shared" ca="1" si="2"/>
        <v>4437.853584442837</v>
      </c>
      <c r="C23" s="445">
        <f t="shared" ca="1" si="3"/>
        <v>0</v>
      </c>
      <c r="D23" s="445">
        <f t="shared" ca="1" si="4"/>
        <v>2245.2915516119001</v>
      </c>
      <c r="E23" s="445">
        <f t="shared" si="5"/>
        <v>116.63518210064264</v>
      </c>
      <c r="F23" s="445">
        <f t="shared" ca="1" si="6"/>
        <v>1124.4408387573717</v>
      </c>
      <c r="G23" s="445">
        <f t="shared" si="7"/>
        <v>0</v>
      </c>
      <c r="H23" s="445">
        <f t="shared" si="8"/>
        <v>0</v>
      </c>
      <c r="I23" s="445">
        <f t="shared" si="9"/>
        <v>0</v>
      </c>
      <c r="J23" s="445">
        <f t="shared" si="10"/>
        <v>1.492898199001931E-2</v>
      </c>
      <c r="K23" s="445">
        <f t="shared" si="11"/>
        <v>0</v>
      </c>
      <c r="L23" s="445">
        <f t="shared" ca="1" si="12"/>
        <v>0</v>
      </c>
      <c r="M23" s="445">
        <f t="shared" si="13"/>
        <v>0</v>
      </c>
      <c r="N23" s="445">
        <f t="shared" ca="1" si="14"/>
        <v>0</v>
      </c>
      <c r="O23" s="445">
        <f t="shared" si="15"/>
        <v>0</v>
      </c>
      <c r="P23" s="446">
        <f t="shared" si="16"/>
        <v>0</v>
      </c>
      <c r="Q23" s="444">
        <f t="shared" ref="Q23:Q32" ca="1" si="17">SUM(B23:P23)</f>
        <v>7924.2360858947422</v>
      </c>
    </row>
    <row r="24" spans="1:17">
      <c r="A24" s="444" t="s">
        <v>193</v>
      </c>
      <c r="B24" s="445">
        <f t="shared" ca="1" si="2"/>
        <v>106.20508978051416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106.20508978051416</v>
      </c>
    </row>
    <row r="25" spans="1:17">
      <c r="A25" s="444" t="s">
        <v>111</v>
      </c>
      <c r="B25" s="445">
        <f t="shared" ca="1" si="2"/>
        <v>739.59774917926075</v>
      </c>
      <c r="C25" s="445">
        <f t="shared" ca="1" si="3"/>
        <v>15.277310924369752</v>
      </c>
      <c r="D25" s="445">
        <f t="shared" si="4"/>
        <v>242.45405508457139</v>
      </c>
      <c r="E25" s="445">
        <f t="shared" si="5"/>
        <v>25.594897264987516</v>
      </c>
      <c r="F25" s="445">
        <f t="shared" si="6"/>
        <v>4266.853279945537</v>
      </c>
      <c r="G25" s="445">
        <f t="shared" si="7"/>
        <v>0</v>
      </c>
      <c r="H25" s="445">
        <f t="shared" si="8"/>
        <v>0</v>
      </c>
      <c r="I25" s="445">
        <f t="shared" si="9"/>
        <v>0</v>
      </c>
      <c r="J25" s="445">
        <f t="shared" si="10"/>
        <v>196.73883385945047</v>
      </c>
      <c r="K25" s="445">
        <f t="shared" si="11"/>
        <v>0</v>
      </c>
      <c r="L25" s="445">
        <f t="shared" si="12"/>
        <v>0</v>
      </c>
      <c r="M25" s="445">
        <f t="shared" si="13"/>
        <v>0</v>
      </c>
      <c r="N25" s="445">
        <f t="shared" si="14"/>
        <v>0</v>
      </c>
      <c r="O25" s="445">
        <f t="shared" si="15"/>
        <v>0</v>
      </c>
      <c r="P25" s="446">
        <f t="shared" si="16"/>
        <v>0</v>
      </c>
      <c r="Q25" s="444">
        <f t="shared" ca="1" si="17"/>
        <v>5486.5161262581769</v>
      </c>
    </row>
    <row r="26" spans="1:17">
      <c r="A26" s="444" t="s">
        <v>627</v>
      </c>
      <c r="B26" s="445">
        <f t="shared" ca="1" si="2"/>
        <v>1357.6422600867418</v>
      </c>
      <c r="C26" s="445">
        <f t="shared" ca="1" si="3"/>
        <v>0</v>
      </c>
      <c r="D26" s="445">
        <f t="shared" si="4"/>
        <v>3108.8377118040003</v>
      </c>
      <c r="E26" s="445">
        <f t="shared" si="5"/>
        <v>140.35511811387292</v>
      </c>
      <c r="F26" s="445">
        <f t="shared" si="6"/>
        <v>587.6273563246325</v>
      </c>
      <c r="G26" s="445">
        <f t="shared" si="7"/>
        <v>0</v>
      </c>
      <c r="H26" s="445">
        <f t="shared" si="8"/>
        <v>0</v>
      </c>
      <c r="I26" s="445">
        <f t="shared" si="9"/>
        <v>0</v>
      </c>
      <c r="J26" s="445">
        <f t="shared" si="10"/>
        <v>0.62653783983338107</v>
      </c>
      <c r="K26" s="445">
        <f t="shared" si="11"/>
        <v>0</v>
      </c>
      <c r="L26" s="445">
        <f t="shared" si="12"/>
        <v>0</v>
      </c>
      <c r="M26" s="445">
        <f t="shared" si="13"/>
        <v>0</v>
      </c>
      <c r="N26" s="445">
        <f t="shared" si="14"/>
        <v>0</v>
      </c>
      <c r="O26" s="445">
        <f t="shared" si="15"/>
        <v>0</v>
      </c>
      <c r="P26" s="446">
        <f t="shared" si="16"/>
        <v>0</v>
      </c>
      <c r="Q26" s="444">
        <f t="shared" ca="1" si="17"/>
        <v>5195.0889841690796</v>
      </c>
    </row>
    <row r="27" spans="1:17" s="450" customFormat="1">
      <c r="A27" s="448" t="s">
        <v>553</v>
      </c>
      <c r="B27" s="748">
        <f t="shared" ca="1" si="2"/>
        <v>7.5536109744901845</v>
      </c>
      <c r="C27" s="449">
        <f t="shared" ca="1" si="3"/>
        <v>0</v>
      </c>
      <c r="D27" s="449">
        <f t="shared" si="4"/>
        <v>13.904709820389295</v>
      </c>
      <c r="E27" s="449">
        <f t="shared" si="5"/>
        <v>27.18282046250032</v>
      </c>
      <c r="F27" s="449">
        <f t="shared" si="6"/>
        <v>0</v>
      </c>
      <c r="G27" s="449">
        <f t="shared" si="7"/>
        <v>14841.66035557322</v>
      </c>
      <c r="H27" s="449">
        <f t="shared" si="8"/>
        <v>2754.1143884058797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17644.415885236478</v>
      </c>
    </row>
    <row r="28" spans="1:17">
      <c r="A28" s="444" t="s">
        <v>543</v>
      </c>
      <c r="B28" s="445">
        <f t="shared" ca="1" si="2"/>
        <v>2.3650463727231186</v>
      </c>
      <c r="C28" s="445">
        <f t="shared" ca="1" si="3"/>
        <v>0</v>
      </c>
      <c r="D28" s="445">
        <f t="shared" si="4"/>
        <v>0</v>
      </c>
      <c r="E28" s="445">
        <f t="shared" si="5"/>
        <v>0</v>
      </c>
      <c r="F28" s="445">
        <f t="shared" si="6"/>
        <v>0</v>
      </c>
      <c r="G28" s="445">
        <f t="shared" si="7"/>
        <v>307.67276562533965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310.03781199806275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121.23429408129451</v>
      </c>
      <c r="C32" s="445">
        <f t="shared" ca="1" si="3"/>
        <v>0</v>
      </c>
      <c r="D32" s="445">
        <f t="shared" si="4"/>
        <v>365.08548780000001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486.31978188129449</v>
      </c>
    </row>
    <row r="33" spans="1:17" s="454" customFormat="1">
      <c r="A33" s="999" t="s">
        <v>547</v>
      </c>
      <c r="B33" s="947">
        <f ca="1">SUM(B22:B32)</f>
        <v>10107.90783725867</v>
      </c>
      <c r="C33" s="947">
        <f t="shared" ref="C33:Q33" ca="1" si="18">SUM(C22:C32)</f>
        <v>15.277310924369752</v>
      </c>
      <c r="D33" s="947">
        <f t="shared" ca="1" si="18"/>
        <v>11433.580181535461</v>
      </c>
      <c r="E33" s="947">
        <f t="shared" si="18"/>
        <v>646.6781597896819</v>
      </c>
      <c r="F33" s="947">
        <f t="shared" ca="1" si="18"/>
        <v>16018.818719413975</v>
      </c>
      <c r="G33" s="947">
        <f t="shared" si="18"/>
        <v>15149.333121198559</v>
      </c>
      <c r="H33" s="947">
        <f t="shared" si="18"/>
        <v>2754.1143884058797</v>
      </c>
      <c r="I33" s="947">
        <f t="shared" si="18"/>
        <v>0</v>
      </c>
      <c r="J33" s="947">
        <f t="shared" si="18"/>
        <v>261.43290045562605</v>
      </c>
      <c r="K33" s="947">
        <f t="shared" si="18"/>
        <v>0</v>
      </c>
      <c r="L33" s="947">
        <f t="shared" ca="1" si="18"/>
        <v>0</v>
      </c>
      <c r="M33" s="947">
        <f t="shared" si="18"/>
        <v>0</v>
      </c>
      <c r="N33" s="947">
        <f t="shared" ca="1" si="18"/>
        <v>0</v>
      </c>
      <c r="O33" s="947">
        <f t="shared" si="18"/>
        <v>0</v>
      </c>
      <c r="P33" s="947">
        <f t="shared" si="18"/>
        <v>0</v>
      </c>
      <c r="Q33" s="947">
        <f t="shared" ca="1" si="18"/>
        <v>56387.142618982223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6692.465639537997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45</v>
      </c>
      <c r="D8" s="1016">
        <f>'SEAP template'!D76</f>
        <v>52.941176470588239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10.694117647058825</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6692.465639537997</v>
      </c>
      <c r="C10" s="1020">
        <f>SUM(C4:C9)</f>
        <v>45</v>
      </c>
      <c r="D10" s="1020">
        <f t="shared" ref="D10:H10" si="0">SUM(D8:D9)</f>
        <v>52.941176470588239</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10.694117647058825</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0.19280254621595783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64.285714285714292</v>
      </c>
      <c r="D17" s="1017">
        <f>'SEAP template'!D87</f>
        <v>75.630252100840352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15.277310924369752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64.285714285714292</v>
      </c>
      <c r="D20" s="1020">
        <f t="shared" ref="D20:H20" si="2">SUM(D17:D19)</f>
        <v>75.630252100840352</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15.277310924369752</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0.19280254621595783</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0.19280254621595783</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0.19280254621595783</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4413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3389.3</v>
      </c>
      <c r="C14" s="324"/>
      <c r="D14" s="324"/>
      <c r="E14" s="324"/>
      <c r="F14" s="324"/>
    </row>
    <row r="15" spans="1:6">
      <c r="A15" s="1291" t="s">
        <v>183</v>
      </c>
      <c r="B15" s="1292">
        <v>9</v>
      </c>
      <c r="C15" s="324"/>
      <c r="D15" s="324"/>
      <c r="E15" s="324"/>
      <c r="F15" s="324"/>
    </row>
    <row r="16" spans="1:6">
      <c r="A16" s="1291" t="s">
        <v>6</v>
      </c>
      <c r="B16" s="1292">
        <v>274</v>
      </c>
      <c r="C16" s="324"/>
      <c r="D16" s="324"/>
      <c r="E16" s="324"/>
      <c r="F16" s="324"/>
    </row>
    <row r="17" spans="1:6">
      <c r="A17" s="1291" t="s">
        <v>7</v>
      </c>
      <c r="B17" s="1292">
        <v>708</v>
      </c>
      <c r="C17" s="324"/>
      <c r="D17" s="324"/>
      <c r="E17" s="324"/>
      <c r="F17" s="324"/>
    </row>
    <row r="18" spans="1:6">
      <c r="A18" s="1291" t="s">
        <v>8</v>
      </c>
      <c r="B18" s="1292">
        <v>690</v>
      </c>
      <c r="C18" s="324"/>
      <c r="D18" s="324"/>
      <c r="E18" s="324"/>
      <c r="F18" s="324"/>
    </row>
    <row r="19" spans="1:6">
      <c r="A19" s="1291" t="s">
        <v>9</v>
      </c>
      <c r="B19" s="1292">
        <v>538</v>
      </c>
      <c r="C19" s="324"/>
      <c r="D19" s="324"/>
      <c r="E19" s="324"/>
      <c r="F19" s="324"/>
    </row>
    <row r="20" spans="1:6">
      <c r="A20" s="1291" t="s">
        <v>10</v>
      </c>
      <c r="B20" s="1292">
        <v>488</v>
      </c>
      <c r="C20" s="324"/>
      <c r="D20" s="324"/>
      <c r="E20" s="324"/>
      <c r="F20" s="324"/>
    </row>
    <row r="21" spans="1:6">
      <c r="A21" s="1291" t="s">
        <v>11</v>
      </c>
      <c r="B21" s="1292">
        <v>3493</v>
      </c>
      <c r="C21" s="324"/>
      <c r="D21" s="324"/>
      <c r="E21" s="324"/>
      <c r="F21" s="324"/>
    </row>
    <row r="22" spans="1:6">
      <c r="A22" s="1291" t="s">
        <v>12</v>
      </c>
      <c r="B22" s="1292">
        <v>7371</v>
      </c>
      <c r="C22" s="324"/>
      <c r="D22" s="324"/>
      <c r="E22" s="324"/>
      <c r="F22" s="324"/>
    </row>
    <row r="23" spans="1:6">
      <c r="A23" s="1291" t="s">
        <v>13</v>
      </c>
      <c r="B23" s="1292">
        <v>159</v>
      </c>
      <c r="C23" s="324"/>
      <c r="D23" s="324"/>
      <c r="E23" s="324"/>
      <c r="F23" s="324"/>
    </row>
    <row r="24" spans="1:6">
      <c r="A24" s="1291" t="s">
        <v>14</v>
      </c>
      <c r="B24" s="1292">
        <v>12</v>
      </c>
      <c r="C24" s="324"/>
      <c r="D24" s="324"/>
      <c r="E24" s="324"/>
      <c r="F24" s="324"/>
    </row>
    <row r="25" spans="1:6">
      <c r="A25" s="1291" t="s">
        <v>15</v>
      </c>
      <c r="B25" s="1292">
        <v>1004</v>
      </c>
      <c r="C25" s="324"/>
      <c r="D25" s="324"/>
      <c r="E25" s="324"/>
      <c r="F25" s="324"/>
    </row>
    <row r="26" spans="1:6">
      <c r="A26" s="1291" t="s">
        <v>16</v>
      </c>
      <c r="B26" s="1292">
        <v>142</v>
      </c>
      <c r="C26" s="324"/>
      <c r="D26" s="324"/>
      <c r="E26" s="324"/>
      <c r="F26" s="324"/>
    </row>
    <row r="27" spans="1:6">
      <c r="A27" s="1291" t="s">
        <v>17</v>
      </c>
      <c r="B27" s="1292">
        <v>2</v>
      </c>
      <c r="C27" s="324"/>
      <c r="D27" s="324"/>
      <c r="E27" s="324"/>
      <c r="F27" s="324"/>
    </row>
    <row r="28" spans="1:6" s="43" customFormat="1">
      <c r="A28" s="1293" t="s">
        <v>18</v>
      </c>
      <c r="B28" s="1294">
        <v>0</v>
      </c>
      <c r="C28" s="330"/>
      <c r="D28" s="330"/>
      <c r="E28" s="330"/>
      <c r="F28" s="330"/>
    </row>
    <row r="29" spans="1:6">
      <c r="A29" s="1293" t="s">
        <v>722</v>
      </c>
      <c r="B29" s="1294">
        <v>46</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6</v>
      </c>
      <c r="F36" s="1292">
        <v>13626</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1912</v>
      </c>
      <c r="D39" s="1292">
        <v>29955471.149999999</v>
      </c>
      <c r="E39" s="1292">
        <v>4308</v>
      </c>
      <c r="F39" s="1292">
        <v>14331059.449999999</v>
      </c>
    </row>
    <row r="40" spans="1:6">
      <c r="A40" s="1291" t="s">
        <v>29</v>
      </c>
      <c r="B40" s="1291" t="s">
        <v>28</v>
      </c>
      <c r="C40" s="1292">
        <v>0</v>
      </c>
      <c r="D40" s="1292">
        <v>0</v>
      </c>
      <c r="E40" s="1292">
        <v>0</v>
      </c>
      <c r="F40" s="1292">
        <v>0</v>
      </c>
    </row>
    <row r="41" spans="1:6">
      <c r="A41" s="1291" t="s">
        <v>31</v>
      </c>
      <c r="B41" s="1291" t="s">
        <v>32</v>
      </c>
      <c r="C41" s="1292">
        <v>41</v>
      </c>
      <c r="D41" s="1292">
        <v>1212278</v>
      </c>
      <c r="E41" s="1292">
        <v>93</v>
      </c>
      <c r="F41" s="1292">
        <v>1975706.753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82780</v>
      </c>
      <c r="E44" s="1292">
        <v>20</v>
      </c>
      <c r="F44" s="1292">
        <v>182298</v>
      </c>
    </row>
    <row r="45" spans="1:6">
      <c r="A45" s="1291" t="s">
        <v>31</v>
      </c>
      <c r="B45" s="1291" t="s">
        <v>36</v>
      </c>
      <c r="C45" s="1292">
        <v>3</v>
      </c>
      <c r="D45" s="1292">
        <v>100842</v>
      </c>
      <c r="E45" s="1292">
        <v>10</v>
      </c>
      <c r="F45" s="1292">
        <v>1001162</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21342</v>
      </c>
      <c r="E48" s="1292">
        <v>2</v>
      </c>
      <c r="F48" s="1292">
        <v>34824.218999999997</v>
      </c>
    </row>
    <row r="49" spans="1:6">
      <c r="A49" s="1291" t="s">
        <v>31</v>
      </c>
      <c r="B49" s="1291" t="s">
        <v>39</v>
      </c>
      <c r="C49" s="1292">
        <v>0</v>
      </c>
      <c r="D49" s="1292">
        <v>0</v>
      </c>
      <c r="E49" s="1292">
        <v>3</v>
      </c>
      <c r="F49" s="1292">
        <v>10241</v>
      </c>
    </row>
    <row r="50" spans="1:6">
      <c r="A50" s="1291" t="s">
        <v>31</v>
      </c>
      <c r="B50" s="1291" t="s">
        <v>40</v>
      </c>
      <c r="C50" s="1292">
        <v>6</v>
      </c>
      <c r="D50" s="1292">
        <v>15645159</v>
      </c>
      <c r="E50" s="1292">
        <v>14</v>
      </c>
      <c r="F50" s="1292">
        <v>3837388</v>
      </c>
    </row>
    <row r="51" spans="1:6">
      <c r="A51" s="1291" t="s">
        <v>41</v>
      </c>
      <c r="B51" s="1291" t="s">
        <v>42</v>
      </c>
      <c r="C51" s="1292">
        <v>20</v>
      </c>
      <c r="D51" s="1292">
        <v>1473214</v>
      </c>
      <c r="E51" s="1292">
        <v>131</v>
      </c>
      <c r="F51" s="1292">
        <v>3836037.25</v>
      </c>
    </row>
    <row r="52" spans="1:6">
      <c r="A52" s="1291" t="s">
        <v>41</v>
      </c>
      <c r="B52" s="1291" t="s">
        <v>28</v>
      </c>
      <c r="C52" s="1292">
        <v>0</v>
      </c>
      <c r="D52" s="1292">
        <v>0</v>
      </c>
      <c r="E52" s="1292">
        <v>0</v>
      </c>
      <c r="F52" s="1292">
        <v>0</v>
      </c>
    </row>
    <row r="53" spans="1:6">
      <c r="A53" s="1291" t="s">
        <v>43</v>
      </c>
      <c r="B53" s="1291" t="s">
        <v>44</v>
      </c>
      <c r="C53" s="1292">
        <v>48</v>
      </c>
      <c r="D53" s="1292">
        <v>1807353.9</v>
      </c>
      <c r="E53" s="1292">
        <v>119</v>
      </c>
      <c r="F53" s="1292">
        <v>628800.27500000002</v>
      </c>
    </row>
    <row r="54" spans="1:6">
      <c r="A54" s="1291" t="s">
        <v>45</v>
      </c>
      <c r="B54" s="1291" t="s">
        <v>46</v>
      </c>
      <c r="C54" s="1292">
        <v>0</v>
      </c>
      <c r="D54" s="1292">
        <v>0</v>
      </c>
      <c r="E54" s="1292">
        <v>2</v>
      </c>
      <c r="F54" s="1292">
        <v>550849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40</v>
      </c>
      <c r="D57" s="1292">
        <v>1999132</v>
      </c>
      <c r="E57" s="1292">
        <v>98</v>
      </c>
      <c r="F57" s="1292">
        <v>1942878</v>
      </c>
    </row>
    <row r="58" spans="1:6">
      <c r="A58" s="1291" t="s">
        <v>48</v>
      </c>
      <c r="B58" s="1291" t="s">
        <v>50</v>
      </c>
      <c r="C58" s="1292">
        <v>30</v>
      </c>
      <c r="D58" s="1292">
        <v>1909491</v>
      </c>
      <c r="E58" s="1292">
        <v>49</v>
      </c>
      <c r="F58" s="1292">
        <v>611919.5</v>
      </c>
    </row>
    <row r="59" spans="1:6">
      <c r="A59" s="1291" t="s">
        <v>48</v>
      </c>
      <c r="B59" s="1291" t="s">
        <v>51</v>
      </c>
      <c r="C59" s="1292">
        <v>49</v>
      </c>
      <c r="D59" s="1292">
        <v>1768799</v>
      </c>
      <c r="E59" s="1292">
        <v>127</v>
      </c>
      <c r="F59" s="1292">
        <v>13359796.869999999</v>
      </c>
    </row>
    <row r="60" spans="1:6">
      <c r="A60" s="1291" t="s">
        <v>48</v>
      </c>
      <c r="B60" s="1291" t="s">
        <v>52</v>
      </c>
      <c r="C60" s="1292">
        <v>38</v>
      </c>
      <c r="D60" s="1292">
        <v>2613853.6</v>
      </c>
      <c r="E60" s="1292">
        <v>56</v>
      </c>
      <c r="F60" s="1292">
        <v>1540575.7919999999</v>
      </c>
    </row>
    <row r="61" spans="1:6">
      <c r="A61" s="1291" t="s">
        <v>48</v>
      </c>
      <c r="B61" s="1291" t="s">
        <v>53</v>
      </c>
      <c r="C61" s="1292">
        <v>92</v>
      </c>
      <c r="D61" s="1292">
        <v>2312770.625</v>
      </c>
      <c r="E61" s="1292">
        <v>222</v>
      </c>
      <c r="F61" s="1292">
        <v>5243956.6380000003</v>
      </c>
    </row>
    <row r="62" spans="1:6">
      <c r="A62" s="1291" t="s">
        <v>48</v>
      </c>
      <c r="B62" s="1291" t="s">
        <v>54</v>
      </c>
      <c r="C62" s="1292">
        <v>11</v>
      </c>
      <c r="D62" s="1292">
        <v>1718908</v>
      </c>
      <c r="E62" s="1292">
        <v>12</v>
      </c>
      <c r="F62" s="1292">
        <v>318482</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20</v>
      </c>
      <c r="F66" s="1292">
        <v>277953</v>
      </c>
    </row>
    <row r="67" spans="1:6">
      <c r="A67" s="1293" t="s">
        <v>55</v>
      </c>
      <c r="B67" s="1293" t="s">
        <v>58</v>
      </c>
      <c r="C67" s="1292">
        <v>0</v>
      </c>
      <c r="D67" s="1292">
        <v>0</v>
      </c>
      <c r="E67" s="1292">
        <v>0</v>
      </c>
      <c r="F67" s="1292">
        <v>0</v>
      </c>
    </row>
    <row r="68" spans="1:6">
      <c r="A68" s="1286" t="s">
        <v>55</v>
      </c>
      <c r="B68" s="1286" t="s">
        <v>59</v>
      </c>
      <c r="C68" s="1295">
        <v>4</v>
      </c>
      <c r="D68" s="1295">
        <v>95033</v>
      </c>
      <c r="E68" s="1295">
        <v>9</v>
      </c>
      <c r="F68" s="1295">
        <v>210795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61654077</v>
      </c>
      <c r="E73" s="443"/>
      <c r="F73" s="324"/>
    </row>
    <row r="74" spans="1:6">
      <c r="A74" s="1291" t="s">
        <v>63</v>
      </c>
      <c r="B74" s="1291" t="s">
        <v>648</v>
      </c>
      <c r="C74" s="1305" t="s">
        <v>650</v>
      </c>
      <c r="D74" s="1306">
        <v>7317448</v>
      </c>
      <c r="E74" s="443"/>
      <c r="F74" s="324"/>
    </row>
    <row r="75" spans="1:6">
      <c r="A75" s="1291" t="s">
        <v>64</v>
      </c>
      <c r="B75" s="1291" t="s">
        <v>647</v>
      </c>
      <c r="C75" s="1305" t="s">
        <v>651</v>
      </c>
      <c r="D75" s="1306">
        <v>13198950</v>
      </c>
      <c r="E75" s="443"/>
      <c r="F75" s="324"/>
    </row>
    <row r="76" spans="1:6">
      <c r="A76" s="1291" t="s">
        <v>64</v>
      </c>
      <c r="B76" s="1291" t="s">
        <v>648</v>
      </c>
      <c r="C76" s="1305" t="s">
        <v>652</v>
      </c>
      <c r="D76" s="1306">
        <v>479017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334804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2968.7961162474089</v>
      </c>
      <c r="C91" s="324"/>
      <c r="D91" s="324"/>
      <c r="E91" s="324"/>
      <c r="F91" s="324"/>
    </row>
    <row r="92" spans="1:6">
      <c r="A92" s="1286" t="s">
        <v>68</v>
      </c>
      <c r="B92" s="1287">
        <v>3723.6695232905877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639</v>
      </c>
      <c r="C97" s="324"/>
      <c r="D97" s="324"/>
      <c r="E97" s="324"/>
      <c r="F97" s="324"/>
    </row>
    <row r="98" spans="1:6">
      <c r="A98" s="1291" t="s">
        <v>71</v>
      </c>
      <c r="B98" s="1292">
        <v>2</v>
      </c>
      <c r="C98" s="324"/>
      <c r="D98" s="324"/>
      <c r="E98" s="324"/>
      <c r="F98" s="324"/>
    </row>
    <row r="99" spans="1:6">
      <c r="A99" s="1291" t="s">
        <v>72</v>
      </c>
      <c r="B99" s="1292">
        <v>37</v>
      </c>
      <c r="C99" s="324"/>
      <c r="D99" s="324"/>
      <c r="E99" s="324"/>
      <c r="F99" s="324"/>
    </row>
    <row r="100" spans="1:6">
      <c r="A100" s="1291" t="s">
        <v>73</v>
      </c>
      <c r="B100" s="1292">
        <v>82</v>
      </c>
      <c r="C100" s="324"/>
      <c r="D100" s="324"/>
      <c r="E100" s="324"/>
      <c r="F100" s="324"/>
    </row>
    <row r="101" spans="1:6">
      <c r="A101" s="1291" t="s">
        <v>74</v>
      </c>
      <c r="B101" s="1292">
        <v>36</v>
      </c>
      <c r="C101" s="324"/>
      <c r="D101" s="324"/>
      <c r="E101" s="324"/>
      <c r="F101" s="324"/>
    </row>
    <row r="102" spans="1:6">
      <c r="A102" s="1291" t="s">
        <v>75</v>
      </c>
      <c r="B102" s="1292">
        <v>43</v>
      </c>
      <c r="C102" s="324"/>
      <c r="D102" s="324"/>
      <c r="E102" s="324"/>
      <c r="F102" s="324"/>
    </row>
    <row r="103" spans="1:6">
      <c r="A103" s="1291" t="s">
        <v>76</v>
      </c>
      <c r="B103" s="1292">
        <v>138</v>
      </c>
      <c r="C103" s="324"/>
      <c r="D103" s="324"/>
      <c r="E103" s="324"/>
      <c r="F103" s="324"/>
    </row>
    <row r="104" spans="1:6">
      <c r="A104" s="1291" t="s">
        <v>77</v>
      </c>
      <c r="B104" s="1292">
        <v>2871</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23</v>
      </c>
      <c r="C123" s="1292">
        <v>14</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80</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22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52426.215502033985</v>
      </c>
      <c r="C3" s="43" t="s">
        <v>169</v>
      </c>
      <c r="D3" s="43"/>
      <c r="E3" s="154"/>
      <c r="F3" s="43"/>
      <c r="G3" s="43"/>
      <c r="H3" s="43"/>
      <c r="I3" s="43"/>
      <c r="J3" s="43"/>
      <c r="K3" s="96"/>
    </row>
    <row r="4" spans="1:11">
      <c r="A4" s="352" t="s">
        <v>170</v>
      </c>
      <c r="B4" s="49">
        <f>IF(ISERROR('SEAP template'!B78+'SEAP template'!C78),0,'SEAP template'!B78+'SEAP template'!C78)</f>
        <v>6737.465639537997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10.694117647058825</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0.19280254621595783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15.277310924369752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64.285714285714292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550.84900000000005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0.19280254621595783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106.20508978051416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14331.059449999999</v>
      </c>
      <c r="C5" s="17">
        <f>IF(ISERROR('Eigen informatie GS &amp; warmtenet'!B57),0,'Eigen informatie GS &amp; warmtenet'!B57)</f>
        <v>0</v>
      </c>
      <c r="D5" s="30">
        <f>(SUM(HH_hh_gas_kWh,HH_rest_gas_kWh)/1000)*0.902</f>
        <v>27019.834977299997</v>
      </c>
      <c r="E5" s="17">
        <f>B32*B41</f>
        <v>1484.1856469060726</v>
      </c>
      <c r="F5" s="17">
        <f>B36*B45</f>
        <v>37602.61140219638</v>
      </c>
      <c r="G5" s="18"/>
      <c r="H5" s="17"/>
      <c r="I5" s="17"/>
      <c r="J5" s="17">
        <f>B35*B44+C35*C44</f>
        <v>180.93954738517573</v>
      </c>
      <c r="K5" s="17"/>
      <c r="L5" s="17"/>
      <c r="M5" s="17"/>
      <c r="N5" s="17">
        <f>B34*B43+C34*C43</f>
        <v>6853.3602350538822</v>
      </c>
      <c r="O5" s="17">
        <f>B52*B53*B54</f>
        <v>150.08000000000001</v>
      </c>
      <c r="P5" s="17">
        <f>B60*B61*B62/1000-B60*B61*B62/1000/B63</f>
        <v>858</v>
      </c>
    </row>
    <row r="6" spans="1:16">
      <c r="A6" s="16" t="s">
        <v>613</v>
      </c>
      <c r="B6" s="756">
        <f>kWh_PV_kleiner_dan_10kW</f>
        <v>2968.7961162474089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17299.855566247406</v>
      </c>
      <c r="C8" s="21">
        <f>C5</f>
        <v>0</v>
      </c>
      <c r="D8" s="21">
        <f>D5</f>
        <v>27019.834977299997</v>
      </c>
      <c r="E8" s="21">
        <f>E5</f>
        <v>1484.1856469060726</v>
      </c>
      <c r="F8" s="21">
        <f>F5</f>
        <v>37602.61140219638</v>
      </c>
      <c r="G8" s="21"/>
      <c r="H8" s="21"/>
      <c r="I8" s="21"/>
      <c r="J8" s="21">
        <f>J5</f>
        <v>180.93954738517573</v>
      </c>
      <c r="K8" s="21"/>
      <c r="L8" s="21">
        <f>L5</f>
        <v>0</v>
      </c>
      <c r="M8" s="21">
        <f>M5</f>
        <v>0</v>
      </c>
      <c r="N8" s="21">
        <f>N5</f>
        <v>6853.3602350538822</v>
      </c>
      <c r="O8" s="21">
        <f>O5</f>
        <v>150.08000000000001</v>
      </c>
      <c r="P8" s="21">
        <f>P5</f>
        <v>858</v>
      </c>
    </row>
    <row r="9" spans="1:16">
      <c r="B9" s="19"/>
      <c r="C9" s="19"/>
      <c r="D9" s="254"/>
      <c r="E9" s="19"/>
      <c r="F9" s="19"/>
      <c r="G9" s="19"/>
      <c r="H9" s="19"/>
      <c r="I9" s="19"/>
      <c r="J9" s="19"/>
      <c r="K9" s="19"/>
      <c r="L9" s="19"/>
      <c r="M9" s="19"/>
      <c r="N9" s="19"/>
      <c r="O9" s="19"/>
      <c r="P9" s="19"/>
    </row>
    <row r="10" spans="1:16">
      <c r="A10" s="24" t="s">
        <v>213</v>
      </c>
      <c r="B10" s="25">
        <f ca="1">'EF ele_warmte'!B12</f>
        <v>0.19280254621595783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3335.4562023408107</v>
      </c>
      <c r="C12" s="23">
        <f ca="1">C10*C8</f>
        <v>0</v>
      </c>
      <c r="D12" s="23">
        <f>D8*D10</f>
        <v>5458.0066654145994</v>
      </c>
      <c r="E12" s="23">
        <f>E10*E8</f>
        <v>336.91014184767852</v>
      </c>
      <c r="F12" s="23">
        <f>F10*F8</f>
        <v>10039.897244386435</v>
      </c>
      <c r="G12" s="23"/>
      <c r="H12" s="23"/>
      <c r="I12" s="23"/>
      <c r="J12" s="23">
        <f>J10*J8</f>
        <v>64.052599774352203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4413</v>
      </c>
      <c r="C26" s="36"/>
      <c r="D26" s="225"/>
    </row>
    <row r="27" spans="1:5" s="15" customFormat="1">
      <c r="A27" s="227" t="s">
        <v>768</v>
      </c>
      <c r="B27" s="37">
        <f>SUM(HH_hh_gas_aantal,HH_rest_gas_aantal)</f>
        <v>1912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1816.4</v>
      </c>
      <c r="C31" s="34" t="s">
        <v>110</v>
      </c>
      <c r="D31" s="171"/>
    </row>
    <row r="32" spans="1:5">
      <c r="A32" s="168" t="s">
        <v>72</v>
      </c>
      <c r="B32" s="33">
        <f>IF((B21*($B$26-($B$27-0.05*$B$27)-$B$60))&lt;0,0,B21*($B$26-($B$27-0.05*$B$27)-$B$60))</f>
        <v>28.068861254319273</v>
      </c>
      <c r="C32" s="34" t="s">
        <v>110</v>
      </c>
      <c r="D32" s="171"/>
    </row>
    <row r="33" spans="1:6">
      <c r="A33" s="168" t="s">
        <v>73</v>
      </c>
      <c r="B33" s="33">
        <f>IF((B22*($B$26-($B$27-0.05*$B$27)-$B$60))&lt;0,0,B22*($B$26-($B$27-0.05*$B$27)-$B$60))</f>
        <v>583.57519684479939</v>
      </c>
      <c r="C33" s="34" t="s">
        <v>110</v>
      </c>
      <c r="D33" s="171"/>
    </row>
    <row r="34" spans="1:6">
      <c r="A34" s="168" t="s">
        <v>74</v>
      </c>
      <c r="B34" s="33">
        <f>IF((B24*($B$26-($B$27-0.05*$B$27)-$B$60))&lt;0,0,B24*($B$26-($B$27-0.05*$B$27)-$B$60))</f>
        <v>116.05236093542179</v>
      </c>
      <c r="C34" s="33">
        <f>B26*C24</f>
        <v>903.32147155610937</v>
      </c>
      <c r="D34" s="230"/>
    </row>
    <row r="35" spans="1:6">
      <c r="A35" s="168" t="s">
        <v>76</v>
      </c>
      <c r="B35" s="33">
        <f>IF((B19*($B$26-($B$27-0.05*$B$27)-$B$60))&lt;0,0,B19*($B$26-($B$27-0.05*$B$27)-$B$60))</f>
        <v>21.245101285194391</v>
      </c>
      <c r="C35" s="33">
        <f>B35/2</f>
        <v>10.622550642597195</v>
      </c>
      <c r="D35" s="230"/>
    </row>
    <row r="36" spans="1:6">
      <c r="A36" s="168" t="s">
        <v>77</v>
      </c>
      <c r="B36" s="33">
        <f>IF((B18*($B$26-($B$27-0.05*$B$27)-$B$60))&lt;0,0,B18*($B$26-($B$27-0.05*$B$27)-$B$60))</f>
        <v>1802.6584796802651</v>
      </c>
      <c r="C36" s="34" t="s">
        <v>110</v>
      </c>
      <c r="D36" s="171"/>
    </row>
    <row r="37" spans="1:6">
      <c r="A37" s="168" t="s">
        <v>78</v>
      </c>
      <c r="B37" s="33">
        <f>B60</f>
        <v>45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23017.608799999998</v>
      </c>
      <c r="C5" s="17">
        <f>IF(ISERROR('Eigen informatie GS &amp; warmtenet'!B58),0,'Eigen informatie GS &amp; warmtenet'!B58)</f>
        <v>0</v>
      </c>
      <c r="D5" s="30">
        <f>SUM(D6:D12)</f>
        <v>11115.30471095</v>
      </c>
      <c r="E5" s="17">
        <f>SUM(E6:E12)</f>
        <v>513.81137489269884</v>
      </c>
      <c r="F5" s="17">
        <f>SUM(F6:F12)</f>
        <v>4211.3889092036388</v>
      </c>
      <c r="G5" s="18"/>
      <c r="H5" s="17"/>
      <c r="I5" s="17"/>
      <c r="J5" s="17">
        <f>SUM(J6:J12)</f>
        <v>4.2172265508529129E-2</v>
      </c>
      <c r="K5" s="17"/>
      <c r="L5" s="17"/>
      <c r="M5" s="17"/>
      <c r="N5" s="17">
        <f>SUM(N6:N12)</f>
        <v>1684.1702596885277</v>
      </c>
      <c r="O5" s="17">
        <f>B38*B39*B40</f>
        <v>3.1266666666666669</v>
      </c>
      <c r="P5" s="17">
        <f>B46*B47*B48/1000-B46*B47*B48/1000/B49</f>
        <v>0</v>
      </c>
      <c r="R5" s="32"/>
    </row>
    <row r="6" spans="1:18">
      <c r="A6" s="32" t="s">
        <v>53</v>
      </c>
      <c r="B6" s="37">
        <f>B26</f>
        <v>5243.9566380000006</v>
      </c>
      <c r="C6" s="33"/>
      <c r="D6" s="37">
        <f>IF(ISERROR(TER_kantoor_gas_kWh/1000),0,TER_kantoor_gas_kWh/1000)*0.902</f>
        <v>2086.1191037500002</v>
      </c>
      <c r="E6" s="33">
        <f>$C$26*'E Balans VL '!I12/100/3.6*1000000</f>
        <v>3.2867376094330186E-2</v>
      </c>
      <c r="F6" s="33">
        <f>$C$26*('E Balans VL '!L12+'E Balans VL '!N12)/100/3.6*1000000</f>
        <v>788.0201525678051</v>
      </c>
      <c r="G6" s="34"/>
      <c r="H6" s="33"/>
      <c r="I6" s="33"/>
      <c r="J6" s="33">
        <f>$C$26*('E Balans VL '!D12+'E Balans VL '!E12)/100/3.6*1000000</f>
        <v>0</v>
      </c>
      <c r="K6" s="33"/>
      <c r="L6" s="33"/>
      <c r="M6" s="33"/>
      <c r="N6" s="33">
        <f>$C$26*'E Balans VL '!Y12/100/3.6*1000000</f>
        <v>5.0150670223491192</v>
      </c>
      <c r="O6" s="33"/>
      <c r="P6" s="33"/>
      <c r="R6" s="32"/>
    </row>
    <row r="7" spans="1:18">
      <c r="A7" s="32" t="s">
        <v>52</v>
      </c>
      <c r="B7" s="37">
        <f t="shared" ref="B7:B12" si="0">B27</f>
        <v>1540.5757919999999</v>
      </c>
      <c r="C7" s="33"/>
      <c r="D7" s="37">
        <f>IF(ISERROR(TER_horeca_gas_kWh/1000),0,TER_horeca_gas_kWh/1000)*0.902</f>
        <v>2357.6959471999999</v>
      </c>
      <c r="E7" s="33">
        <f>$C$27*'E Balans VL '!I9/100/3.6*1000000</f>
        <v>22.060788730499596</v>
      </c>
      <c r="F7" s="33">
        <f>$C$27*('E Balans VL '!L9+'E Balans VL '!N9)/100/3.6*1000000</f>
        <v>195.087705414325</v>
      </c>
      <c r="G7" s="34"/>
      <c r="H7" s="33"/>
      <c r="I7" s="33"/>
      <c r="J7" s="33">
        <f>$C$27*('E Balans VL '!D9+'E Balans VL '!E9)/100/3.6*1000000</f>
        <v>0</v>
      </c>
      <c r="K7" s="33"/>
      <c r="L7" s="33"/>
      <c r="M7" s="33"/>
      <c r="N7" s="33">
        <f>$C$27*'E Balans VL '!Y9/100/3.6*1000000</f>
        <v>0.44288157341948342</v>
      </c>
      <c r="O7" s="33"/>
      <c r="P7" s="33"/>
      <c r="R7" s="32"/>
    </row>
    <row r="8" spans="1:18">
      <c r="A8" s="6" t="s">
        <v>51</v>
      </c>
      <c r="B8" s="37">
        <f t="shared" si="0"/>
        <v>13359.796869999998</v>
      </c>
      <c r="C8" s="33"/>
      <c r="D8" s="37">
        <f>IF(ISERROR(TER_handel_gas_kWh/1000),0,TER_handel_gas_kWh/1000)*0.902</f>
        <v>1595.456698</v>
      </c>
      <c r="E8" s="33">
        <f>$C$28*'E Balans VL '!I13/100/3.6*1000000</f>
        <v>484.55818501855862</v>
      </c>
      <c r="F8" s="33">
        <f>$C$28*('E Balans VL '!L13+'E Balans VL '!N13)/100/3.6*1000000</f>
        <v>2573.2321537059229</v>
      </c>
      <c r="G8" s="34"/>
      <c r="H8" s="33"/>
      <c r="I8" s="33"/>
      <c r="J8" s="33">
        <f>$C$28*('E Balans VL '!D13+'E Balans VL '!E13)/100/3.6*1000000</f>
        <v>0</v>
      </c>
      <c r="K8" s="33"/>
      <c r="L8" s="33"/>
      <c r="M8" s="33"/>
      <c r="N8" s="33">
        <f>$C$28*'E Balans VL '!Y13/100/3.6*1000000</f>
        <v>18.50639261711563</v>
      </c>
      <c r="O8" s="33"/>
      <c r="P8" s="33"/>
      <c r="R8" s="32"/>
    </row>
    <row r="9" spans="1:18">
      <c r="A9" s="32" t="s">
        <v>50</v>
      </c>
      <c r="B9" s="37">
        <f t="shared" si="0"/>
        <v>611.91949999999997</v>
      </c>
      <c r="C9" s="33"/>
      <c r="D9" s="37">
        <f>IF(ISERROR(TER_gezond_gas_kWh/1000),0,TER_gezond_gas_kWh/1000)*0.902</f>
        <v>1722.3608819999999</v>
      </c>
      <c r="E9" s="33">
        <f>$C$29*'E Balans VL '!I10/100/3.6*1000000</f>
        <v>3.8312202313581893E-2</v>
      </c>
      <c r="F9" s="33">
        <f>$C$29*('E Balans VL '!L10+'E Balans VL '!N10)/100/3.6*1000000</f>
        <v>90.902504842443562</v>
      </c>
      <c r="G9" s="34"/>
      <c r="H9" s="33"/>
      <c r="I9" s="33"/>
      <c r="J9" s="33">
        <f>$C$29*('E Balans VL '!D10+'E Balans VL '!E10)/100/3.6*1000000</f>
        <v>0</v>
      </c>
      <c r="K9" s="33"/>
      <c r="L9" s="33"/>
      <c r="M9" s="33"/>
      <c r="N9" s="33">
        <f>$C$29*'E Balans VL '!Y10/100/3.6*1000000</f>
        <v>9.4652298711845546</v>
      </c>
      <c r="O9" s="33"/>
      <c r="P9" s="33"/>
      <c r="R9" s="32"/>
    </row>
    <row r="10" spans="1:18">
      <c r="A10" s="32" t="s">
        <v>49</v>
      </c>
      <c r="B10" s="37">
        <f t="shared" si="0"/>
        <v>1942.8779999999999</v>
      </c>
      <c r="C10" s="33"/>
      <c r="D10" s="37">
        <f>IF(ISERROR(TER_ander_gas_kWh/1000),0,TER_ander_gas_kWh/1000)*0.902</f>
        <v>1803.2170640000002</v>
      </c>
      <c r="E10" s="33">
        <f>$C$30*'E Balans VL '!I14/100/3.6*1000000</f>
        <v>2.3158411492713356</v>
      </c>
      <c r="F10" s="33">
        <f>$C$30*('E Balans VL '!L14+'E Balans VL '!N14)/100/3.6*1000000</f>
        <v>508.34325837182826</v>
      </c>
      <c r="G10" s="34"/>
      <c r="H10" s="33"/>
      <c r="I10" s="33"/>
      <c r="J10" s="33">
        <f>$C$30*('E Balans VL '!D14+'E Balans VL '!E14)/100/3.6*1000000</f>
        <v>4.2172265508529129E-2</v>
      </c>
      <c r="K10" s="33"/>
      <c r="L10" s="33"/>
      <c r="M10" s="33"/>
      <c r="N10" s="33">
        <f>$C$30*'E Balans VL '!Y14/100/3.6*1000000</f>
        <v>1649.8444560445353</v>
      </c>
      <c r="O10" s="33"/>
      <c r="P10" s="33"/>
      <c r="R10" s="32"/>
    </row>
    <row r="11" spans="1:18">
      <c r="A11" s="32" t="s">
        <v>54</v>
      </c>
      <c r="B11" s="37">
        <f t="shared" si="0"/>
        <v>318.48200000000003</v>
      </c>
      <c r="C11" s="33"/>
      <c r="D11" s="37">
        <f>IF(ISERROR(TER_onderwijs_gas_kWh/1000),0,TER_onderwijs_gas_kWh/1000)*0.902</f>
        <v>1550.4550159999999</v>
      </c>
      <c r="E11" s="33">
        <f>$C$31*'E Balans VL '!I11/100/3.6*1000000</f>
        <v>4.8053804159614062</v>
      </c>
      <c r="F11" s="33">
        <f>$C$31*('E Balans VL '!L11+'E Balans VL '!N11)/100/3.6*1000000</f>
        <v>55.803134301313364</v>
      </c>
      <c r="G11" s="34"/>
      <c r="H11" s="33"/>
      <c r="I11" s="33"/>
      <c r="J11" s="33">
        <f>$C$31*('E Balans VL '!D11+'E Balans VL '!E11)/100/3.6*1000000</f>
        <v>0</v>
      </c>
      <c r="K11" s="33"/>
      <c r="L11" s="33"/>
      <c r="M11" s="33"/>
      <c r="N11" s="33">
        <f>$C$31*'E Balans VL '!Y11/100/3.6*1000000</f>
        <v>0.89623255992367534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23017.608799999998</v>
      </c>
      <c r="C16" s="21">
        <f t="shared" ca="1" si="1"/>
        <v>0</v>
      </c>
      <c r="D16" s="21">
        <f t="shared" ca="1" si="1"/>
        <v>11115.30471095</v>
      </c>
      <c r="E16" s="21">
        <f t="shared" si="1"/>
        <v>513.81137489269884</v>
      </c>
      <c r="F16" s="21">
        <f t="shared" ca="1" si="1"/>
        <v>4211.3889092036388</v>
      </c>
      <c r="G16" s="21">
        <f t="shared" si="1"/>
        <v>0</v>
      </c>
      <c r="H16" s="21">
        <f t="shared" si="1"/>
        <v>0</v>
      </c>
      <c r="I16" s="21">
        <f t="shared" si="1"/>
        <v>0</v>
      </c>
      <c r="J16" s="21">
        <f t="shared" si="1"/>
        <v>4.2172265508529129E-2</v>
      </c>
      <c r="K16" s="21">
        <f t="shared" si="1"/>
        <v>0</v>
      </c>
      <c r="L16" s="21">
        <f t="shared" ca="1" si="1"/>
        <v>0</v>
      </c>
      <c r="M16" s="21">
        <f t="shared" si="1"/>
        <v>0</v>
      </c>
      <c r="N16" s="21">
        <f t="shared" ca="1" si="1"/>
        <v>1684.1702596885277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0.19280254621595783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4437.853584442837</v>
      </c>
      <c r="C20" s="23">
        <f t="shared" ref="C20:P20" ca="1" si="2">C16*C18</f>
        <v>0</v>
      </c>
      <c r="D20" s="23">
        <f t="shared" ca="1" si="2"/>
        <v>2245.2915516119001</v>
      </c>
      <c r="E20" s="23">
        <f t="shared" si="2"/>
        <v>116.63518210064264</v>
      </c>
      <c r="F20" s="23">
        <f t="shared" ca="1" si="2"/>
        <v>1124.4408387573717</v>
      </c>
      <c r="G20" s="23">
        <f t="shared" si="2"/>
        <v>0</v>
      </c>
      <c r="H20" s="23">
        <f t="shared" si="2"/>
        <v>0</v>
      </c>
      <c r="I20" s="23">
        <f t="shared" si="2"/>
        <v>0</v>
      </c>
      <c r="J20" s="23">
        <f t="shared" si="2"/>
        <v>1.492898199001931E-2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5243.9566380000006</v>
      </c>
      <c r="C26" s="39">
        <f>IF(ISERROR(B26*3.6/1000000/'E Balans VL '!Z12*100),0,B26*3.6/1000000/'E Balans VL '!Z12*100)</f>
        <v>0.11084893622899897</v>
      </c>
      <c r="D26" s="233" t="s">
        <v>732</v>
      </c>
      <c r="F26" s="6"/>
    </row>
    <row r="27" spans="1:18">
      <c r="A27" s="228" t="s">
        <v>52</v>
      </c>
      <c r="B27" s="33">
        <f>IF(ISERROR(TER_horeca_ele_kWh/1000),0,TER_horeca_ele_kWh/1000)</f>
        <v>1540.5757919999999</v>
      </c>
      <c r="C27" s="39">
        <f>IF(ISERROR(B27*3.6/1000000/'E Balans VL '!Z9*100),0,B27*3.6/1000000/'E Balans VL '!Z9*100)</f>
        <v>0.12144301548144824</v>
      </c>
      <c r="D27" s="233" t="s">
        <v>732</v>
      </c>
      <c r="F27" s="6"/>
    </row>
    <row r="28" spans="1:18">
      <c r="A28" s="168" t="s">
        <v>51</v>
      </c>
      <c r="B28" s="33">
        <f>IF(ISERROR(TER_handel_ele_kWh/1000),0,TER_handel_ele_kWh/1000)</f>
        <v>13359.796869999998</v>
      </c>
      <c r="C28" s="39">
        <f>IF(ISERROR(B28*3.6/1000000/'E Balans VL '!Z13*100),0,B28*3.6/1000000/'E Balans VL '!Z13*100)</f>
        <v>0.38775528479550164</v>
      </c>
      <c r="D28" s="233" t="s">
        <v>732</v>
      </c>
      <c r="F28" s="6"/>
    </row>
    <row r="29" spans="1:18">
      <c r="A29" s="228" t="s">
        <v>50</v>
      </c>
      <c r="B29" s="33">
        <f>IF(ISERROR(TER_gezond_ele_kWh/1000),0,TER_gezond_ele_kWh/1000)</f>
        <v>611.91949999999997</v>
      </c>
      <c r="C29" s="39">
        <f>IF(ISERROR(B29*3.6/1000000/'E Balans VL '!Z10*100),0,B29*3.6/1000000/'E Balans VL '!Z10*100)</f>
        <v>6.4445171333417914E-2</v>
      </c>
      <c r="D29" s="233" t="s">
        <v>732</v>
      </c>
      <c r="F29" s="6"/>
    </row>
    <row r="30" spans="1:18">
      <c r="A30" s="228" t="s">
        <v>49</v>
      </c>
      <c r="B30" s="33">
        <f>IF(ISERROR(TER_ander_ele_kWh/1000),0,TER_ander_ele_kWh/1000)</f>
        <v>1942.8779999999999</v>
      </c>
      <c r="C30" s="39">
        <f>IF(ISERROR(B30*3.6/1000000/'E Balans VL '!Z14*100),0,B30*3.6/1000000/'E Balans VL '!Z14*100)</f>
        <v>0.14330710327100246</v>
      </c>
      <c r="D30" s="233" t="s">
        <v>732</v>
      </c>
      <c r="F30" s="6"/>
    </row>
    <row r="31" spans="1:18">
      <c r="A31" s="228" t="s">
        <v>54</v>
      </c>
      <c r="B31" s="33">
        <f>IF(ISERROR(TER_onderwijs_ele_kWh/1000),0,TER_onderwijs_ele_kWh/1000)</f>
        <v>318.48200000000003</v>
      </c>
      <c r="C31" s="39">
        <f>IF(ISERROR(B31*3.6/1000000/'E Balans VL '!Z11*100),0,B31*3.6/1000000/'E Balans VL '!Z11*100)</f>
        <v>7.909399917546564E-2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7041.6199720000004</v>
      </c>
      <c r="C5" s="17">
        <f>IF(ISERROR('Eigen informatie GS &amp; warmtenet'!B59),0,'Eigen informatie GS &amp; warmtenet'!B59)</f>
        <v>0</v>
      </c>
      <c r="D5" s="30">
        <f>SUM(D6:D15)</f>
        <v>15390.285702000001</v>
      </c>
      <c r="E5" s="17">
        <f>SUM(E6:E15)</f>
        <v>618.30448508314055</v>
      </c>
      <c r="F5" s="17">
        <f>SUM(F6:F15)</f>
        <v>2200.8515218151028</v>
      </c>
      <c r="G5" s="18"/>
      <c r="H5" s="17"/>
      <c r="I5" s="17"/>
      <c r="J5" s="17">
        <f>SUM(J6:J15)</f>
        <v>1.7698809034841274</v>
      </c>
      <c r="K5" s="17"/>
      <c r="L5" s="17"/>
      <c r="M5" s="17"/>
      <c r="N5" s="17">
        <f>SUM(N6:N15)</f>
        <v>644.57028680682527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182.298</v>
      </c>
      <c r="C8" s="33"/>
      <c r="D8" s="37">
        <f>IF( ISERROR(IND_metaal_Gas_kWH/1000),0,IND_metaal_Gas_kWH/1000)*0.902</f>
        <v>74.667560000000009</v>
      </c>
      <c r="E8" s="33">
        <f>C30*'E Balans VL '!I18/100/3.6*1000000</f>
        <v>1.6760540449172165</v>
      </c>
      <c r="F8" s="33">
        <f>C30*'E Balans VL '!L18/100/3.6*1000000+C30*'E Balans VL '!N18/100/3.6*1000000</f>
        <v>17.093483085216135</v>
      </c>
      <c r="G8" s="34"/>
      <c r="H8" s="33"/>
      <c r="I8" s="33"/>
      <c r="J8" s="40">
        <f>C30*'E Balans VL '!D18/100/3.6*1000000+C30*'E Balans VL '!E18/100/3.6*1000000</f>
        <v>0</v>
      </c>
      <c r="K8" s="33"/>
      <c r="L8" s="33"/>
      <c r="M8" s="33"/>
      <c r="N8" s="33">
        <f>C30*'E Balans VL '!Y18/100/3.6*1000000</f>
        <v>2.6007822301313803</v>
      </c>
      <c r="O8" s="33"/>
      <c r="P8" s="33"/>
      <c r="R8" s="32"/>
    </row>
    <row r="9" spans="1:18">
      <c r="A9" s="6" t="s">
        <v>32</v>
      </c>
      <c r="B9" s="37">
        <f t="shared" si="0"/>
        <v>1975.7067529999999</v>
      </c>
      <c r="C9" s="33"/>
      <c r="D9" s="37">
        <f>IF( ISERROR(IND_andere_gas_kWh/1000),0,IND_andere_gas_kWh/1000)*0.902</f>
        <v>1093.4747560000001</v>
      </c>
      <c r="E9" s="33">
        <f>C31*'E Balans VL '!I19/100/3.6*1000000</f>
        <v>577.53754637575821</v>
      </c>
      <c r="F9" s="33">
        <f>C31*'E Balans VL '!L19/100/3.6*1000000+C31*'E Balans VL '!N19/100/3.6*1000000</f>
        <v>1587.6299232954136</v>
      </c>
      <c r="G9" s="34"/>
      <c r="H9" s="33"/>
      <c r="I9" s="33"/>
      <c r="J9" s="40">
        <f>C31*'E Balans VL '!D19/100/3.6*1000000+C31*'E Balans VL '!E19/100/3.6*1000000</f>
        <v>0</v>
      </c>
      <c r="K9" s="33"/>
      <c r="L9" s="33"/>
      <c r="M9" s="33"/>
      <c r="N9" s="33">
        <f>C31*'E Balans VL '!Y19/100/3.6*1000000</f>
        <v>154.97175436191151</v>
      </c>
      <c r="O9" s="33"/>
      <c r="P9" s="33"/>
      <c r="R9" s="32"/>
    </row>
    <row r="10" spans="1:18">
      <c r="A10" s="6" t="s">
        <v>40</v>
      </c>
      <c r="B10" s="37">
        <f t="shared" si="0"/>
        <v>3837.3879999999999</v>
      </c>
      <c r="C10" s="33"/>
      <c r="D10" s="37">
        <f>IF( ISERROR(IND_voed_gas_kWh/1000),0,IND_voed_gas_kWh/1000)*0.902</f>
        <v>14111.933418000001</v>
      </c>
      <c r="E10" s="33">
        <f>C32*'E Balans VL '!I20/100/3.6*1000000</f>
        <v>8.1180538134056413</v>
      </c>
      <c r="F10" s="33">
        <f>C32*'E Balans VL '!L20/100/3.6*1000000+C32*'E Balans VL '!N20/100/3.6*1000000</f>
        <v>243.98504881689624</v>
      </c>
      <c r="G10" s="34"/>
      <c r="H10" s="33"/>
      <c r="I10" s="33"/>
      <c r="J10" s="40">
        <f>C32*'E Balans VL '!D20/100/3.6*1000000+C32*'E Balans VL '!E20/100/3.6*1000000</f>
        <v>0</v>
      </c>
      <c r="K10" s="33"/>
      <c r="L10" s="33"/>
      <c r="M10" s="33"/>
      <c r="N10" s="33">
        <f>C32*'E Balans VL '!Y20/100/3.6*1000000</f>
        <v>264.81764027007927</v>
      </c>
      <c r="O10" s="33"/>
      <c r="P10" s="33"/>
      <c r="R10" s="32"/>
    </row>
    <row r="11" spans="1:18">
      <c r="A11" s="6" t="s">
        <v>39</v>
      </c>
      <c r="B11" s="37">
        <f t="shared" si="0"/>
        <v>10.241</v>
      </c>
      <c r="C11" s="33"/>
      <c r="D11" s="37">
        <f>IF( ISERROR(IND_textiel_gas_kWh/1000),0,IND_textiel_gas_kWh/1000)*0.902</f>
        <v>0</v>
      </c>
      <c r="E11" s="33">
        <f>C33*'E Balans VL '!I21/100/3.6*1000000</f>
        <v>3.0414887056060588E-2</v>
      </c>
      <c r="F11" s="33">
        <f>C33*'E Balans VL '!L21/100/3.6*1000000+C33*'E Balans VL '!N21/100/3.6*1000000</f>
        <v>1.0346221576082333</v>
      </c>
      <c r="G11" s="34"/>
      <c r="H11" s="33"/>
      <c r="I11" s="33"/>
      <c r="J11" s="40">
        <f>C33*'E Balans VL '!D21/100/3.6*1000000+C33*'E Balans VL '!E21/100/3.6*1000000</f>
        <v>0</v>
      </c>
      <c r="K11" s="33"/>
      <c r="L11" s="33"/>
      <c r="M11" s="33"/>
      <c r="N11" s="33">
        <f>C33*'E Balans VL '!Y21/100/3.6*1000000</f>
        <v>0.56482383265888747</v>
      </c>
      <c r="O11" s="33"/>
      <c r="P11" s="33"/>
      <c r="R11" s="32"/>
    </row>
    <row r="12" spans="1:18">
      <c r="A12" s="6" t="s">
        <v>36</v>
      </c>
      <c r="B12" s="37">
        <f t="shared" si="0"/>
        <v>1001.162</v>
      </c>
      <c r="C12" s="33"/>
      <c r="D12" s="37">
        <f>IF( ISERROR(IND_min_gas_kWh/1000),0,IND_min_gas_kWh/1000)*0.902</f>
        <v>90.959484000000003</v>
      </c>
      <c r="E12" s="33">
        <f>C34*'E Balans VL '!I22/100/3.6*1000000</f>
        <v>29.019563931143253</v>
      </c>
      <c r="F12" s="33">
        <f>C34*'E Balans VL '!L22/100/3.6*1000000+C34*'E Balans VL '!N22/100/3.6*1000000</f>
        <v>344.21080898274255</v>
      </c>
      <c r="G12" s="34"/>
      <c r="H12" s="33"/>
      <c r="I12" s="33"/>
      <c r="J12" s="40">
        <f>C34*'E Balans VL '!D22/100/3.6*1000000+C34*'E Balans VL '!E22/100/3.6*1000000</f>
        <v>1.645210861668513</v>
      </c>
      <c r="K12" s="33"/>
      <c r="L12" s="33"/>
      <c r="M12" s="33"/>
      <c r="N12" s="33">
        <f>C34*'E Balans VL '!Y22/100/3.6*1000000</f>
        <v>219.17081418676909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34.824218999999999</v>
      </c>
      <c r="C15" s="33"/>
      <c r="D15" s="37">
        <f>IF( ISERROR(IND_rest_gas_kWh/1000),0,IND_rest_gas_kWh/1000)*0.902</f>
        <v>19.250484</v>
      </c>
      <c r="E15" s="33">
        <f>C37*'E Balans VL '!I15/100/3.6*1000000</f>
        <v>1.9228520308602688</v>
      </c>
      <c r="F15" s="33">
        <f>C37*'E Balans VL '!L15/100/3.6*1000000+C37*'E Balans VL '!N15/100/3.6*1000000</f>
        <v>6.8976354772256672</v>
      </c>
      <c r="G15" s="34"/>
      <c r="H15" s="33"/>
      <c r="I15" s="33"/>
      <c r="J15" s="40">
        <f>C37*'E Balans VL '!D15/100/3.6*1000000+C37*'E Balans VL '!E15/100/3.6*1000000</f>
        <v>0.12467004181561431</v>
      </c>
      <c r="K15" s="33"/>
      <c r="L15" s="33"/>
      <c r="M15" s="33"/>
      <c r="N15" s="33">
        <f>C37*'E Balans VL '!Y15/100/3.6*1000000</f>
        <v>2.4444719252751854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7041.6199720000004</v>
      </c>
      <c r="C18" s="21">
        <f>C5+C16</f>
        <v>0</v>
      </c>
      <c r="D18" s="21">
        <f>MAX((D5+D16),0)</f>
        <v>15390.285702000001</v>
      </c>
      <c r="E18" s="21">
        <f>MAX((E5+E16),0)</f>
        <v>618.30448508314055</v>
      </c>
      <c r="F18" s="21">
        <f>MAX((F5+F16),0)</f>
        <v>2200.8515218151028</v>
      </c>
      <c r="G18" s="21"/>
      <c r="H18" s="21"/>
      <c r="I18" s="21"/>
      <c r="J18" s="21">
        <f>MAX((J5+J16),0)</f>
        <v>1.7698809034841274</v>
      </c>
      <c r="K18" s="21"/>
      <c r="L18" s="21">
        <f>MAX((L5+L16),0)</f>
        <v>0</v>
      </c>
      <c r="M18" s="21"/>
      <c r="N18" s="21">
        <f>MAX((N5+N16),0)</f>
        <v>644.57028680682527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0.19280254621595783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1357.6422600867418</v>
      </c>
      <c r="C22" s="23">
        <f ca="1">C18*C20</f>
        <v>0</v>
      </c>
      <c r="D22" s="23">
        <f>D18*D20</f>
        <v>3108.8377118040003</v>
      </c>
      <c r="E22" s="23">
        <f>E18*E20</f>
        <v>140.35511811387292</v>
      </c>
      <c r="F22" s="23">
        <f>F18*F20</f>
        <v>587.6273563246325</v>
      </c>
      <c r="G22" s="23"/>
      <c r="H22" s="23"/>
      <c r="I22" s="23"/>
      <c r="J22" s="23">
        <f>J18*J20</f>
        <v>0.62653783983338107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182.298</v>
      </c>
      <c r="C30" s="39">
        <f>IF(ISERROR(B30*3.6/1000000/'E Balans VL '!Z18*100),0,B30*3.6/1000000/'E Balans VL '!Z18*100)</f>
        <v>1.0331295102645013E-2</v>
      </c>
      <c r="D30" s="233" t="s">
        <v>732</v>
      </c>
    </row>
    <row r="31" spans="1:18">
      <c r="A31" s="6" t="s">
        <v>32</v>
      </c>
      <c r="B31" s="37">
        <f>IF( ISERROR(IND_ander_ele_kWh/1000),0,IND_ander_ele_kWh/1000)</f>
        <v>1975.7067529999999</v>
      </c>
      <c r="C31" s="39">
        <f>IF(ISERROR(B31*3.6/1000000/'E Balans VL '!Z19*100),0,B31*3.6/1000000/'E Balans VL '!Z19*100)</f>
        <v>8.9609831616343685E-2</v>
      </c>
      <c r="D31" s="233" t="s">
        <v>732</v>
      </c>
    </row>
    <row r="32" spans="1:18">
      <c r="A32" s="168" t="s">
        <v>40</v>
      </c>
      <c r="B32" s="37">
        <f>IF( ISERROR(IND_voed_ele_kWh/1000),0,IND_voed_ele_kWh/1000)</f>
        <v>3837.3879999999999</v>
      </c>
      <c r="C32" s="39">
        <f>IF(ISERROR(B32*3.6/1000000/'E Balans VL '!Z20*100),0,B32*3.6/1000000/'E Balans VL '!Z20*100)</f>
        <v>0.11870783111063082</v>
      </c>
      <c r="D32" s="233" t="s">
        <v>732</v>
      </c>
    </row>
    <row r="33" spans="1:5">
      <c r="A33" s="168" t="s">
        <v>39</v>
      </c>
      <c r="B33" s="37">
        <f>IF( ISERROR(IND_textiel_ele_kWh/1000),0,IND_textiel_ele_kWh/1000)</f>
        <v>10.241</v>
      </c>
      <c r="C33" s="39">
        <f>IF(ISERROR(B33*3.6/1000000/'E Balans VL '!Z21*100),0,B33*3.6/1000000/'E Balans VL '!Z21*100)</f>
        <v>1.3353125654885314E-3</v>
      </c>
      <c r="D33" s="233" t="s">
        <v>732</v>
      </c>
    </row>
    <row r="34" spans="1:5">
      <c r="A34" s="168" t="s">
        <v>36</v>
      </c>
      <c r="B34" s="37">
        <f>IF( ISERROR(IND_min_ele_kWh/1000),0,IND_min_ele_kWh/1000)</f>
        <v>1001.162</v>
      </c>
      <c r="C34" s="39">
        <f>IF(ISERROR(B34*3.6/1000000/'E Balans VL '!Z22*100),0,B34*3.6/1000000/'E Balans VL '!Z22*100)</f>
        <v>0.1800778079053412</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34.824218999999999</v>
      </c>
      <c r="C37" s="39">
        <f>IF(ISERROR(B37*3.6/1000000/'E Balans VL '!Z15*100),0,B37*3.6/1000000/'E Balans VL '!Z15*100)</f>
        <v>2.760247037833945E-4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3836.0372499999999</v>
      </c>
      <c r="C5" s="17">
        <f>'Eigen informatie GS &amp; warmtenet'!B60</f>
        <v>0</v>
      </c>
      <c r="D5" s="30">
        <f>IF(ISERROR(SUM(LB_lb_gas_kWh,LB_rest_gas_kWh)/1000),0,SUM(LB_lb_gas_kWh,LB_rest_gas_kWh)/1000)*0.902</f>
        <v>1328.8390279999999</v>
      </c>
      <c r="E5" s="17">
        <f>B17*'E Balans VL '!I25/3.6*1000000/100</f>
        <v>112.75285138761019</v>
      </c>
      <c r="F5" s="17">
        <f>B17*('E Balans VL '!L25/3.6*1000000+'E Balans VL '!N25/3.6*1000000)/100</f>
        <v>15980.723894927103</v>
      </c>
      <c r="G5" s="18"/>
      <c r="H5" s="17"/>
      <c r="I5" s="17"/>
      <c r="J5" s="17">
        <f>('E Balans VL '!D25+'E Balans VL '!E25)/3.6*1000000*landbouw!B17/100</f>
        <v>555.75941768206349</v>
      </c>
      <c r="K5" s="17"/>
      <c r="L5" s="17">
        <f>L6*(-1)</f>
        <v>0</v>
      </c>
      <c r="M5" s="17"/>
      <c r="N5" s="17">
        <f>N6*(-1)</f>
        <v>0</v>
      </c>
      <c r="O5" s="17"/>
      <c r="P5" s="17"/>
      <c r="R5" s="32"/>
    </row>
    <row r="6" spans="1:18">
      <c r="A6" s="16" t="s">
        <v>480</v>
      </c>
      <c r="B6" s="17" t="s">
        <v>210</v>
      </c>
      <c r="C6" s="17">
        <f>'lokale energieproductie'!O39+'lokale energieproductie'!O32</f>
        <v>64.285714285714292</v>
      </c>
      <c r="D6" s="302">
        <f>('lokale energieproductie'!P32+'lokale energieproductie'!P39)*(-1)</f>
        <v>-128.57142857142858</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3836.0372499999999</v>
      </c>
      <c r="C8" s="21">
        <f>C5+C6</f>
        <v>64.285714285714292</v>
      </c>
      <c r="D8" s="21">
        <f>MAX((D5+D6),0)</f>
        <v>1200.2675994285712</v>
      </c>
      <c r="E8" s="21">
        <f>MAX((E5+E6),0)</f>
        <v>112.75285138761019</v>
      </c>
      <c r="F8" s="21">
        <f>MAX((F5+F6),0)</f>
        <v>15980.723894927103</v>
      </c>
      <c r="G8" s="21"/>
      <c r="H8" s="21"/>
      <c r="I8" s="21"/>
      <c r="J8" s="21">
        <f>MAX((J5+J6),0)</f>
        <v>555.75941768206349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0.19280254621595783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739.59774917926075</v>
      </c>
      <c r="C12" s="23">
        <f ca="1">C8*C10</f>
        <v>15.277310924369752</v>
      </c>
      <c r="D12" s="23">
        <f>D8*D10</f>
        <v>242.45405508457139</v>
      </c>
      <c r="E12" s="23">
        <f>E8*E10</f>
        <v>25.594897264987516</v>
      </c>
      <c r="F12" s="23">
        <f>F8*F10</f>
        <v>4266.853279945537</v>
      </c>
      <c r="G12" s="23"/>
      <c r="H12" s="23"/>
      <c r="I12" s="23"/>
      <c r="J12" s="23">
        <f>J8*J10</f>
        <v>196.73883385945047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0.54434572097483569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172.30245183576832</v>
      </c>
      <c r="C26" s="243">
        <f>B26*'GWP N2O_CH4'!B5</f>
        <v>3618.3514885511349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70.080359167315564</v>
      </c>
      <c r="C27" s="243">
        <f>B27*'GWP N2O_CH4'!B5</f>
        <v>1471.6875425136268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2.7838128735313639</v>
      </c>
      <c r="C28" s="243">
        <f>B28*'GWP N2O_CH4'!B4</f>
        <v>862.98199079472283</v>
      </c>
      <c r="D28" s="50"/>
    </row>
    <row r="29" spans="1:4">
      <c r="A29" s="41" t="s">
        <v>271</v>
      </c>
      <c r="B29" s="243">
        <f>B34*'ha_N2O bodem landbouw'!B4</f>
        <v>22.051600536945749</v>
      </c>
      <c r="C29" s="243">
        <f>B29*'GWP N2O_CH4'!B4</f>
        <v>6835.996166453182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5.0320992493348539E-3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1.4104066591374696E-4</v>
      </c>
      <c r="C5" s="431" t="s">
        <v>210</v>
      </c>
      <c r="D5" s="416">
        <f>SUM(D6:D11)</f>
        <v>2.4780670967030423E-4</v>
      </c>
      <c r="E5" s="416">
        <f>SUM(E6:E11)</f>
        <v>4.3109318795154692E-4</v>
      </c>
      <c r="F5" s="429" t="s">
        <v>210</v>
      </c>
      <c r="G5" s="416">
        <f>SUM(G6:G11)</f>
        <v>0.20011227445716701</v>
      </c>
      <c r="H5" s="416">
        <f>SUM(H6:H11)</f>
        <v>3.9818521278157291E-2</v>
      </c>
      <c r="I5" s="431" t="s">
        <v>210</v>
      </c>
      <c r="J5" s="431" t="s">
        <v>210</v>
      </c>
      <c r="K5" s="431" t="s">
        <v>210</v>
      </c>
      <c r="L5" s="431" t="s">
        <v>210</v>
      </c>
      <c r="M5" s="416">
        <f>SUM(M6:M11)</f>
        <v>1.2863910935685723E-2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1.0814409541148072E-4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1.8180924145080342E-4</v>
      </c>
      <c r="E6" s="859">
        <f>vkm_GW_PW*SUMIFS(TableVerdeelsleutelVkm[LPG],TableVerdeelsleutelVkm[Voertuigtype],"Lichte voertuigen")*SUMIFS(TableECFTransport[EnergieConsumptieFactor (PJ per km)],TableECFTransport[Index],CONCATENATE($A6,"_LPG_LPG"))</f>
        <v>3.1989491785602695E-4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9.4911895920430533E-2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2.9373756086457599E-2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6.4100569191058807E-3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2.1402469027191136E-6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6.8745626428652784E-2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1.1216252295867199E-6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4.0165006127572608E-3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3.0616218107769143E-5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6.5997468219500808E-5</v>
      </c>
      <c r="E8" s="419">
        <f>vkm_NGW_PW*SUMIFS(TableVerdeelsleutelVkm[LPG],TableVerdeelsleutelVkm[Voertuigtype],"Lichte voertuigen")*SUMIFS(TableECFTransport[EnergieConsumptieFactor (PJ per km)],TableECFTransport[Index],CONCATENATE($A8,"_LPG_LPG"))</f>
        <v>1.1119827009551995E-4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3.0680637206179601E-2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1.0443554941623287E-2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2.0999977646942616E-3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1.4010549177798073E-7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5.7741149019040656E-3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8.8624846812623132E-8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3.3735563912831967E-4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39.177962753818598</v>
      </c>
      <c r="C14" s="21"/>
      <c r="D14" s="21">
        <f t="shared" ref="D14:M14" si="0">((D5)*10^9/3600)+D12</f>
        <v>68.835197130640069</v>
      </c>
      <c r="E14" s="21">
        <f t="shared" si="0"/>
        <v>119.74810776431859</v>
      </c>
      <c r="F14" s="21"/>
      <c r="G14" s="21">
        <f t="shared" si="0"/>
        <v>55586.742904768609</v>
      </c>
      <c r="H14" s="21">
        <f t="shared" si="0"/>
        <v>11060.700355043693</v>
      </c>
      <c r="I14" s="21"/>
      <c r="J14" s="21"/>
      <c r="K14" s="21"/>
      <c r="L14" s="21"/>
      <c r="M14" s="21">
        <f t="shared" si="0"/>
        <v>3573.308593246034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0.19280254621595783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7.5536109744901845</v>
      </c>
      <c r="C18" s="23"/>
      <c r="D18" s="23">
        <f t="shared" ref="D18:M18" si="1">D14*D16</f>
        <v>13.904709820389295</v>
      </c>
      <c r="E18" s="23">
        <f t="shared" si="1"/>
        <v>27.18282046250032</v>
      </c>
      <c r="F18" s="23"/>
      <c r="G18" s="23">
        <f t="shared" si="1"/>
        <v>14841.66035557322</v>
      </c>
      <c r="H18" s="23">
        <f t="shared" si="1"/>
        <v>2754.1143884058797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4.4160033717949559E-5</v>
      </c>
      <c r="C50" s="313">
        <f t="shared" ref="C50:P50" si="2">SUM(C51:C52)</f>
        <v>0</v>
      </c>
      <c r="D50" s="313">
        <f t="shared" si="2"/>
        <v>0</v>
      </c>
      <c r="E50" s="313">
        <f t="shared" si="2"/>
        <v>0</v>
      </c>
      <c r="F50" s="313">
        <f t="shared" si="2"/>
        <v>0</v>
      </c>
      <c r="G50" s="313">
        <f t="shared" si="2"/>
        <v>4.1483968398922195E-3</v>
      </c>
      <c r="H50" s="313">
        <f t="shared" si="2"/>
        <v>0</v>
      </c>
      <c r="I50" s="313">
        <f t="shared" si="2"/>
        <v>0</v>
      </c>
      <c r="J50" s="313">
        <f t="shared" si="2"/>
        <v>0</v>
      </c>
      <c r="K50" s="313">
        <f t="shared" si="2"/>
        <v>0</v>
      </c>
      <c r="L50" s="313">
        <f t="shared" si="2"/>
        <v>0</v>
      </c>
      <c r="M50" s="313">
        <f t="shared" si="2"/>
        <v>2.3889371838139905E-4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4.4160033717949559E-5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4.1483968398922195E-3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2.3889371838139905E-4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12.266676032763767</v>
      </c>
      <c r="C54" s="21">
        <f t="shared" ref="C54:P54" si="3">(C50)*10^9/3600</f>
        <v>0</v>
      </c>
      <c r="D54" s="21">
        <f t="shared" si="3"/>
        <v>0</v>
      </c>
      <c r="E54" s="21">
        <f t="shared" si="3"/>
        <v>0</v>
      </c>
      <c r="F54" s="21">
        <f t="shared" si="3"/>
        <v>0</v>
      </c>
      <c r="G54" s="21">
        <f t="shared" si="3"/>
        <v>1152.3324555256165</v>
      </c>
      <c r="H54" s="21">
        <f t="shared" si="3"/>
        <v>0</v>
      </c>
      <c r="I54" s="21">
        <f t="shared" si="3"/>
        <v>0</v>
      </c>
      <c r="J54" s="21">
        <f t="shared" si="3"/>
        <v>0</v>
      </c>
      <c r="K54" s="21">
        <f t="shared" si="3"/>
        <v>0</v>
      </c>
      <c r="L54" s="21">
        <f t="shared" si="3"/>
        <v>0</v>
      </c>
      <c r="M54" s="21">
        <f t="shared" si="3"/>
        <v>66.359366217055296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0.19280254621595783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2.3650463727231186</v>
      </c>
      <c r="C58" s="23">
        <f t="shared" ref="C58:P58" ca="1" si="4">C54*C56</f>
        <v>0</v>
      </c>
      <c r="D58" s="23">
        <f t="shared" si="4"/>
        <v>0</v>
      </c>
      <c r="E58" s="23">
        <f t="shared" si="4"/>
        <v>0</v>
      </c>
      <c r="F58" s="23">
        <f t="shared" si="4"/>
        <v>0</v>
      </c>
      <c r="G58" s="23">
        <f t="shared" si="4"/>
        <v>307.67276562533965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6692.465639537997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45</v>
      </c>
      <c r="C8" s="538">
        <f>B48</f>
        <v>52.941176470588239</v>
      </c>
      <c r="D8" s="1004"/>
      <c r="E8" s="1004">
        <f>E48</f>
        <v>0</v>
      </c>
      <c r="F8" s="1005"/>
      <c r="G8" s="539"/>
      <c r="H8" s="1004">
        <f>I48</f>
        <v>0</v>
      </c>
      <c r="I8" s="1004">
        <f>G48+F48</f>
        <v>0</v>
      </c>
      <c r="J8" s="1004">
        <f>H48+D48+C48</f>
        <v>0</v>
      </c>
      <c r="K8" s="1004"/>
      <c r="L8" s="1004"/>
      <c r="M8" s="1004"/>
      <c r="N8" s="540"/>
      <c r="O8" s="541">
        <f>C8*$C$12+D8*$D$12+E8*$E$12+F8*$F$12+G8*$G$12+H8*$H$12+I8*$I$12+J8*$J$12</f>
        <v>10.694117647058825</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6737.465639537997</v>
      </c>
      <c r="C10" s="551">
        <f t="shared" ref="C10:L10" si="0">SUM(C8:C9)</f>
        <v>52.941176470588239</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10.694117647058825</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64.285714285714292</v>
      </c>
      <c r="C17" s="563">
        <f>B49</f>
        <v>75.630252100840352</v>
      </c>
      <c r="D17" s="564"/>
      <c r="E17" s="564">
        <f>E49</f>
        <v>0</v>
      </c>
      <c r="F17" s="1010"/>
      <c r="G17" s="565"/>
      <c r="H17" s="563">
        <f>I49</f>
        <v>0</v>
      </c>
      <c r="I17" s="564">
        <f>G49+F49</f>
        <v>0</v>
      </c>
      <c r="J17" s="564">
        <f>H49+D49+C49</f>
        <v>0</v>
      </c>
      <c r="K17" s="564"/>
      <c r="L17" s="564"/>
      <c r="M17" s="564"/>
      <c r="N17" s="1011"/>
      <c r="O17" s="566">
        <f>C17*$C$22+E17*$E$22+H17*$H$22+I17*$I$22+J17*$J$22+D17*$D$22+F17*$F$22+G17*$G$22+K17*$K$22+L17*$L$22</f>
        <v>15.277310924369752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64.285714285714292</v>
      </c>
      <c r="C20" s="550">
        <f>SUM(C17:C19)</f>
        <v>75.630252100840352</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15.277310924369752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73009</v>
      </c>
      <c r="C28" s="764">
        <v>3840</v>
      </c>
      <c r="D28" s="621" t="s">
        <v>902</v>
      </c>
      <c r="E28" s="620"/>
      <c r="F28" s="620" t="s">
        <v>903</v>
      </c>
      <c r="G28" s="620" t="s">
        <v>904</v>
      </c>
      <c r="H28" s="620" t="s">
        <v>905</v>
      </c>
      <c r="I28" s="620" t="s">
        <v>906</v>
      </c>
      <c r="J28" s="763">
        <v>41926</v>
      </c>
      <c r="K28" s="763">
        <v>42362</v>
      </c>
      <c r="L28" s="620" t="s">
        <v>907</v>
      </c>
      <c r="M28" s="620">
        <v>10</v>
      </c>
      <c r="N28" s="620">
        <v>45</v>
      </c>
      <c r="O28" s="620">
        <v>64.285714285714292</v>
      </c>
      <c r="P28" s="620">
        <v>128.57142857142858</v>
      </c>
      <c r="Q28" s="620">
        <v>0</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10</v>
      </c>
      <c r="N29" s="578">
        <f>SUM(N28:N28)</f>
        <v>45</v>
      </c>
      <c r="O29" s="578">
        <f>SUM(O28:O28)</f>
        <v>64.285714285714292</v>
      </c>
      <c r="P29" s="578">
        <f>SUM(P28:P28)</f>
        <v>128.57142857142858</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10</v>
      </c>
      <c r="N32" s="583">
        <f>SUMIF($Z$28:$Z$28,"landbouw",N28:N28)</f>
        <v>45</v>
      </c>
      <c r="O32" s="583">
        <f>SUMIF($Z$28:$Z$28,"landbouw",O28:O28)</f>
        <v>64.285714285714292</v>
      </c>
      <c r="P32" s="583">
        <f>SUMIF($Z$28:$Z$28,"landbouw",P28:P28)</f>
        <v>128.57142857142858</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52.941176470588239</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75.630252100840352</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2021-06-29T15:47:06Z</dcterms:modified>
</cp:coreProperties>
</file>